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1.bin" ContentType="application/vnd.openxmlformats-officedocument.oleObject"/>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Users\Martha\Documents\ARTURO GARCIA CONTRERAS EN LIQUIDACIÓN JUDICIAL\"/>
    </mc:Choice>
  </mc:AlternateContent>
  <xr:revisionPtr revIDLastSave="0" documentId="8_{423B571E-8B02-499C-A8DA-6FF148A3AFA9}" xr6:coauthVersionLast="47" xr6:coauthVersionMax="47" xr10:uidLastSave="{00000000-0000-0000-0000-000000000000}"/>
  <bookViews>
    <workbookView xWindow="-120" yWindow="-120" windowWidth="20730" windowHeight="11160" firstSheet="17" activeTab="17" xr2:uid="{7057C760-E92D-4C94-8A5E-5B4BB151FFB1}"/>
  </bookViews>
  <sheets>
    <sheet name="E.RESULTADOS 2018" sheetId="1" r:id="rId1"/>
    <sheet name="E.RESULTADOS 2019" sheetId="2" r:id="rId2"/>
    <sheet name="E.RESULTADOS 2020" sheetId="3" r:id="rId3"/>
    <sheet name="E.RESULTADOS 2021" sheetId="4" r:id="rId4"/>
    <sheet name="SITUACION FRA 2018" sheetId="6" r:id="rId5"/>
    <sheet name="SITUACION FRA 2019" sheetId="5" r:id="rId6"/>
    <sheet name="SITUACION FRA 2020" sheetId="8" r:id="rId7"/>
    <sheet name="SITUACION FRA 2021" sheetId="7" r:id="rId8"/>
    <sheet name="CAMB.SIT.FRA 2018-2019" sheetId="9" r:id="rId9"/>
    <sheet name="CAMB.SIT.FRA 2019-2020" sheetId="10" r:id="rId10"/>
    <sheet name="CAMB.SIT.FRA 2020-2021" sheetId="11" r:id="rId11"/>
    <sheet name="CAMB.PATR.2018-2019" sheetId="12" r:id="rId12"/>
    <sheet name="CAMB.PATR.2019-2020" sheetId="13" r:id="rId13"/>
    <sheet name="CAMB.PATR.2020-2021" sheetId="14" r:id="rId14"/>
    <sheet name="FLUJO EFECTIVO 2018" sheetId="15" r:id="rId15"/>
    <sheet name="FLUJO EFECTIVO 2019" sheetId="16" r:id="rId16"/>
    <sheet name="FLUJO EFECTIVO 2020" sheetId="17" r:id="rId17"/>
    <sheet name="FLUJO EFECTIVO 2021" sheetId="18" r:id="rId18"/>
    <sheet name="FLUJO PROYECTADO " sheetId="19" r:id="rId19"/>
    <sheet name="ACTIVOS Y PASIVOS" sheetId="20" r:id="rId20"/>
    <sheet name="REL MUEBLES Y ENSERES" sheetId="23" r:id="rId21"/>
    <sheet name="REL.DETALLADA ACREEDORES" sheetId="21" r:id="rId22"/>
  </sheets>
  <definedNames>
    <definedName name="_xlnm.Print_Area" localSheetId="19">'ACTIVOS Y PASIVOS'!$A$1:$G$97</definedName>
    <definedName name="_xlnm.Print_Area" localSheetId="11">'CAMB.PATR.2018-2019'!$A$1:$G$25</definedName>
    <definedName name="_xlnm.Print_Area" localSheetId="12">'CAMB.PATR.2019-2020'!$A$1:$G$26</definedName>
    <definedName name="_xlnm.Print_Area" localSheetId="13">'CAMB.PATR.2020-2021'!$A$1:$G$29</definedName>
    <definedName name="_xlnm.Print_Area" localSheetId="8">'CAMB.SIT.FRA 2018-2019'!$A$1:$D$44</definedName>
    <definedName name="_xlnm.Print_Area" localSheetId="9">'CAMB.SIT.FRA 2019-2020'!$A$1:$D$43</definedName>
    <definedName name="_xlnm.Print_Area" localSheetId="10">'CAMB.SIT.FRA 2020-2021'!$A$1:$D$49</definedName>
    <definedName name="_xlnm.Print_Area" localSheetId="0">'E.RESULTADOS 2018'!$A$1:$D$39</definedName>
    <definedName name="_xlnm.Print_Area" localSheetId="1">'E.RESULTADOS 2019'!$A$1:$D$39</definedName>
    <definedName name="_xlnm.Print_Area" localSheetId="2">'E.RESULTADOS 2020'!$A$1:$D$39</definedName>
    <definedName name="_xlnm.Print_Area" localSheetId="3">'E.RESULTADOS 2021'!$A$1:$D$41</definedName>
    <definedName name="_xlnm.Print_Area" localSheetId="14">'FLUJO EFECTIVO 2018'!$A$1:$B$44</definedName>
    <definedName name="_xlnm.Print_Area" localSheetId="15">'FLUJO EFECTIVO 2019'!$A$1:$C$45</definedName>
    <definedName name="_xlnm.Print_Area" localSheetId="16">'FLUJO EFECTIVO 2020'!$A$1:$B$40</definedName>
    <definedName name="_xlnm.Print_Area" localSheetId="17">'FLUJO EFECTIVO 2021'!$A$1:$B$44</definedName>
    <definedName name="_xlnm.Print_Area" localSheetId="18">'FLUJO PROYECTADO '!$A$1:$N$33</definedName>
    <definedName name="_xlnm.Print_Area" localSheetId="21">'REL.DETALLADA ACREEDORES'!$A$1:$N$45</definedName>
    <definedName name="_xlnm.Print_Area" localSheetId="4">'SITUACION FRA 2018'!$A$1:$B$43</definedName>
    <definedName name="_xlnm.Print_Area" localSheetId="5">'SITUACION FRA 2019'!$A$1:$B$45</definedName>
    <definedName name="_xlnm.Print_Area" localSheetId="6">'SITUACION FRA 2020'!$A$1:$B$44</definedName>
    <definedName name="_xlnm.Print_Area" localSheetId="7">'SITUACION FRA 2021'!$A$1:$B$46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21" l="1"/>
  <c r="L36" i="21"/>
  <c r="N28" i="21" s="1"/>
  <c r="B14" i="11"/>
  <c r="N31" i="21" l="1"/>
  <c r="N32" i="21"/>
  <c r="N13" i="21"/>
  <c r="N29" i="21"/>
  <c r="N14" i="21"/>
  <c r="N15" i="21"/>
  <c r="N23" i="21"/>
  <c r="N16" i="21"/>
  <c r="N24" i="21"/>
  <c r="N9" i="21"/>
  <c r="N25" i="21"/>
  <c r="N33" i="21"/>
  <c r="N10" i="21"/>
  <c r="N18" i="21"/>
  <c r="N26" i="21"/>
  <c r="N34" i="21"/>
  <c r="N21" i="21"/>
  <c r="N6" i="21"/>
  <c r="N22" i="21"/>
  <c r="N30" i="21"/>
  <c r="N7" i="21"/>
  <c r="N8" i="21"/>
  <c r="N17" i="21"/>
  <c r="N11" i="21"/>
  <c r="N19" i="21"/>
  <c r="N27" i="21"/>
  <c r="N35" i="21"/>
  <c r="N12" i="21"/>
  <c r="N20" i="21"/>
  <c r="N36" i="21"/>
  <c r="C7" i="20"/>
  <c r="C23" i="20"/>
  <c r="C21" i="20"/>
  <c r="C19" i="20"/>
  <c r="C17" i="20"/>
  <c r="C14" i="20"/>
  <c r="C10" i="20"/>
  <c r="B29" i="18"/>
  <c r="C25" i="20" l="1"/>
  <c r="C7" i="19"/>
  <c r="M23" i="19"/>
  <c r="N23" i="19" s="1"/>
  <c r="C37" i="11"/>
  <c r="C30" i="11"/>
  <c r="C25" i="11"/>
  <c r="C31" i="11" s="1"/>
  <c r="C18" i="11"/>
  <c r="C14" i="11"/>
  <c r="B37" i="11"/>
  <c r="D36" i="11"/>
  <c r="D35" i="11"/>
  <c r="D34" i="11"/>
  <c r="B30" i="11"/>
  <c r="D30" i="11" s="1"/>
  <c r="D29" i="11"/>
  <c r="D28" i="11"/>
  <c r="B25" i="11"/>
  <c r="D24" i="11"/>
  <c r="D23" i="11"/>
  <c r="D22" i="11"/>
  <c r="B18" i="11"/>
  <c r="D17" i="11"/>
  <c r="D12" i="11"/>
  <c r="D11" i="11"/>
  <c r="D10" i="11"/>
  <c r="D9" i="11"/>
  <c r="C37" i="10"/>
  <c r="C30" i="10"/>
  <c r="C25" i="10"/>
  <c r="C18" i="10"/>
  <c r="C14" i="10"/>
  <c r="C19" i="10" s="1"/>
  <c r="B37" i="10"/>
  <c r="D36" i="10"/>
  <c r="D35" i="10"/>
  <c r="D34" i="10"/>
  <c r="B30" i="10"/>
  <c r="D30" i="10" s="1"/>
  <c r="D29" i="10"/>
  <c r="D28" i="10"/>
  <c r="B25" i="10"/>
  <c r="D24" i="10"/>
  <c r="D23" i="10"/>
  <c r="D22" i="10"/>
  <c r="B18" i="10"/>
  <c r="D17" i="10"/>
  <c r="B14" i="10"/>
  <c r="D12" i="10"/>
  <c r="D11" i="10"/>
  <c r="D10" i="10"/>
  <c r="D9" i="10"/>
  <c r="B14" i="9"/>
  <c r="B24" i="7"/>
  <c r="D24" i="4"/>
  <c r="B57" i="20"/>
  <c r="B27" i="8"/>
  <c r="B12" i="8"/>
  <c r="B9" i="8"/>
  <c r="D26" i="3"/>
  <c r="B27" i="5"/>
  <c r="B14" i="5"/>
  <c r="B9" i="5"/>
  <c r="D12" i="2"/>
  <c r="B25" i="6"/>
  <c r="B11" i="6"/>
  <c r="B13" i="6" s="1"/>
  <c r="B15" i="6"/>
  <c r="B20" i="6" s="1"/>
  <c r="B9" i="6"/>
  <c r="D12" i="1"/>
  <c r="B31" i="20"/>
  <c r="B71" i="20"/>
  <c r="B64" i="20"/>
  <c r="B67" i="20"/>
  <c r="B48" i="20"/>
  <c r="B37" i="20"/>
  <c r="B53" i="20"/>
  <c r="B21" i="6" l="1"/>
  <c r="C38" i="11"/>
  <c r="C39" i="11" s="1"/>
  <c r="C31" i="10"/>
  <c r="C38" i="10" s="1"/>
  <c r="D14" i="11"/>
  <c r="D37" i="11"/>
  <c r="D25" i="11"/>
  <c r="B31" i="11"/>
  <c r="B38" i="11" s="1"/>
  <c r="D38" i="11" s="1"/>
  <c r="D18" i="11"/>
  <c r="B19" i="11"/>
  <c r="C19" i="11"/>
  <c r="D25" i="10"/>
  <c r="D37" i="10"/>
  <c r="B31" i="10"/>
  <c r="B38" i="10" s="1"/>
  <c r="D38" i="10" s="1"/>
  <c r="B19" i="10"/>
  <c r="D18" i="10"/>
  <c r="D19" i="10"/>
  <c r="D14" i="10"/>
  <c r="D29" i="20"/>
  <c r="D31" i="11" l="1"/>
  <c r="D19" i="11"/>
  <c r="D31" i="10"/>
  <c r="B15" i="19" l="1"/>
  <c r="D7" i="19"/>
  <c r="E7" i="19" l="1"/>
  <c r="F7" i="19" s="1"/>
  <c r="G7" i="19" s="1"/>
  <c r="H7" i="19" s="1"/>
  <c r="I7" i="19" s="1"/>
  <c r="J7" i="19" s="1"/>
  <c r="B16" i="5"/>
  <c r="K7" i="19" l="1"/>
  <c r="M7" i="19" s="1"/>
  <c r="L7" i="19"/>
  <c r="D21" i="23"/>
  <c r="D24" i="23"/>
  <c r="D23" i="23"/>
  <c r="D22" i="23"/>
  <c r="D20" i="23"/>
  <c r="D19" i="23"/>
  <c r="D18" i="23"/>
  <c r="D17" i="23"/>
  <c r="D16" i="23"/>
  <c r="B39" i="15"/>
  <c r="D20" i="2" l="1"/>
  <c r="D20" i="1"/>
  <c r="D13" i="2"/>
  <c r="D25" i="2"/>
  <c r="D22" i="2"/>
  <c r="D15" i="2" l="1"/>
  <c r="D21" i="2" s="1"/>
  <c r="D28" i="2" s="1"/>
  <c r="D30" i="2" s="1"/>
  <c r="D32" i="2" s="1"/>
  <c r="D25" i="4" l="1"/>
  <c r="B15" i="7"/>
  <c r="B20" i="7" s="1"/>
  <c r="B31" i="5"/>
  <c r="B28" i="5"/>
  <c r="B21" i="5"/>
  <c r="B30" i="6"/>
  <c r="B27" i="6"/>
  <c r="B30" i="7"/>
  <c r="B27" i="7"/>
  <c r="B13" i="7"/>
  <c r="B16" i="8"/>
  <c r="B21" i="8" s="1"/>
  <c r="D13" i="3"/>
  <c r="D13" i="1"/>
  <c r="B32" i="5" l="1"/>
  <c r="B31" i="7"/>
  <c r="B31" i="6"/>
  <c r="B22" i="5"/>
  <c r="B21" i="7"/>
  <c r="D15" i="23"/>
  <c r="D5" i="23"/>
  <c r="D6" i="23"/>
  <c r="D7" i="23"/>
  <c r="D8" i="23"/>
  <c r="D9" i="23"/>
  <c r="D10" i="23"/>
  <c r="D11" i="23"/>
  <c r="D12" i="23"/>
  <c r="D13" i="23"/>
  <c r="D14" i="23"/>
  <c r="D4" i="23"/>
  <c r="D25" i="23" l="1"/>
  <c r="B35" i="7"/>
  <c r="B35" i="6"/>
  <c r="B36" i="6" s="1"/>
  <c r="B37" i="6" s="1"/>
  <c r="B36" i="5"/>
  <c r="B37" i="5" s="1"/>
  <c r="B38" i="5" s="1"/>
  <c r="D86" i="20"/>
  <c r="B36" i="7" l="1"/>
  <c r="B37" i="7" s="1"/>
  <c r="B32" i="18"/>
  <c r="B33" i="18" s="1"/>
  <c r="B24" i="18"/>
  <c r="B19" i="18"/>
  <c r="B32" i="17"/>
  <c r="B30" i="17" s="1"/>
  <c r="B29" i="17"/>
  <c r="B24" i="17"/>
  <c r="B19" i="17"/>
  <c r="B38" i="16"/>
  <c r="B35" i="16"/>
  <c r="B29" i="16"/>
  <c r="B24" i="16"/>
  <c r="F12" i="14"/>
  <c r="E12" i="14"/>
  <c r="D12" i="14"/>
  <c r="C12" i="14"/>
  <c r="B12" i="14"/>
  <c r="G8" i="14"/>
  <c r="F12" i="13"/>
  <c r="E12" i="13"/>
  <c r="D12" i="13"/>
  <c r="C12" i="13"/>
  <c r="B12" i="13"/>
  <c r="G12" i="14" l="1"/>
  <c r="G12" i="13"/>
  <c r="K36" i="21" l="1"/>
  <c r="C22" i="19"/>
  <c r="D22" i="19" s="1"/>
  <c r="C21" i="19"/>
  <c r="D21" i="19" s="1"/>
  <c r="E21" i="19" s="1"/>
  <c r="F21" i="19" s="1"/>
  <c r="G21" i="19" s="1"/>
  <c r="H21" i="19" s="1"/>
  <c r="I21" i="19" s="1"/>
  <c r="J21" i="19" s="1"/>
  <c r="C20" i="19"/>
  <c r="B19" i="19"/>
  <c r="B24" i="19" s="1"/>
  <c r="C18" i="19"/>
  <c r="C17" i="19"/>
  <c r="C16" i="19"/>
  <c r="B12" i="19"/>
  <c r="C11" i="19"/>
  <c r="C12" i="19" s="1"/>
  <c r="B9" i="19"/>
  <c r="C8" i="19"/>
  <c r="D8" i="19" s="1"/>
  <c r="C9" i="19"/>
  <c r="B35" i="15"/>
  <c r="B29" i="15"/>
  <c r="B24" i="15"/>
  <c r="F18" i="14"/>
  <c r="E18" i="14"/>
  <c r="D18" i="14"/>
  <c r="C18" i="14"/>
  <c r="B18" i="14"/>
  <c r="G14" i="14"/>
  <c r="F18" i="13"/>
  <c r="E18" i="13"/>
  <c r="D18" i="13"/>
  <c r="C18" i="13"/>
  <c r="B18" i="13"/>
  <c r="G14" i="13"/>
  <c r="F18" i="12"/>
  <c r="E18" i="12"/>
  <c r="D18" i="12"/>
  <c r="C18" i="12"/>
  <c r="B18" i="12"/>
  <c r="F12" i="12"/>
  <c r="E12" i="12"/>
  <c r="D12" i="12"/>
  <c r="C12" i="12"/>
  <c r="B12" i="12"/>
  <c r="C37" i="9"/>
  <c r="B37" i="9"/>
  <c r="D36" i="9"/>
  <c r="D35" i="9"/>
  <c r="D34" i="9"/>
  <c r="C30" i="9"/>
  <c r="B30" i="9"/>
  <c r="D29" i="9"/>
  <c r="D28" i="9"/>
  <c r="C25" i="9"/>
  <c r="B25" i="9"/>
  <c r="D24" i="9"/>
  <c r="D23" i="9"/>
  <c r="D22" i="9"/>
  <c r="C18" i="9"/>
  <c r="B18" i="9"/>
  <c r="D17" i="9"/>
  <c r="C14" i="9"/>
  <c r="D12" i="9"/>
  <c r="D11" i="9"/>
  <c r="D10" i="9"/>
  <c r="D9" i="9"/>
  <c r="B31" i="8"/>
  <c r="B28" i="8"/>
  <c r="B14" i="8"/>
  <c r="D22" i="4"/>
  <c r="D20" i="4"/>
  <c r="D13" i="4"/>
  <c r="D12" i="4"/>
  <c r="D22" i="3"/>
  <c r="D20" i="3"/>
  <c r="D12" i="3"/>
  <c r="D15" i="3" s="1"/>
  <c r="D25" i="1"/>
  <c r="D22" i="1"/>
  <c r="D15" i="1"/>
  <c r="F22" i="19" l="1"/>
  <c r="G22" i="19" s="1"/>
  <c r="H22" i="19" s="1"/>
  <c r="I22" i="19" s="1"/>
  <c r="J22" i="19" s="1"/>
  <c r="K22" i="19" s="1"/>
  <c r="M22" i="19" s="1"/>
  <c r="E22" i="19"/>
  <c r="K21" i="19"/>
  <c r="M21" i="19" s="1"/>
  <c r="L21" i="19"/>
  <c r="E8" i="19"/>
  <c r="F8" i="19" s="1"/>
  <c r="G8" i="19" s="1"/>
  <c r="H8" i="19" s="1"/>
  <c r="I8" i="19" s="1"/>
  <c r="J8" i="19" s="1"/>
  <c r="D9" i="19"/>
  <c r="C13" i="19"/>
  <c r="G18" i="13"/>
  <c r="B31" i="9"/>
  <c r="B38" i="9" s="1"/>
  <c r="C31" i="9"/>
  <c r="D18" i="19"/>
  <c r="E18" i="19" s="1"/>
  <c r="F18" i="19" s="1"/>
  <c r="G18" i="19" s="1"/>
  <c r="H18" i="19" s="1"/>
  <c r="I18" i="19" s="1"/>
  <c r="J18" i="19" s="1"/>
  <c r="D16" i="19"/>
  <c r="E16" i="19" s="1"/>
  <c r="G12" i="12"/>
  <c r="G14" i="12" s="1"/>
  <c r="B39" i="11"/>
  <c r="D30" i="9"/>
  <c r="B22" i="8"/>
  <c r="B13" i="19"/>
  <c r="B25" i="19" s="1"/>
  <c r="C19" i="19"/>
  <c r="C15" i="19"/>
  <c r="G18" i="14"/>
  <c r="G18" i="12"/>
  <c r="D39" i="11"/>
  <c r="D37" i="9"/>
  <c r="B19" i="9"/>
  <c r="D18" i="9"/>
  <c r="D14" i="9"/>
  <c r="D25" i="9"/>
  <c r="C19" i="9"/>
  <c r="B32" i="8"/>
  <c r="D15" i="4"/>
  <c r="D21" i="3"/>
  <c r="D21" i="1"/>
  <c r="D28" i="1" s="1"/>
  <c r="D30" i="1" s="1"/>
  <c r="D32" i="1" s="1"/>
  <c r="D11" i="19"/>
  <c r="D17" i="19"/>
  <c r="E17" i="19" s="1"/>
  <c r="F17" i="19" s="1"/>
  <c r="G17" i="19" s="1"/>
  <c r="H17" i="19" s="1"/>
  <c r="I17" i="19" s="1"/>
  <c r="J17" i="19" s="1"/>
  <c r="D20" i="19"/>
  <c r="C38" i="9"/>
  <c r="K8" i="19" l="1"/>
  <c r="M8" i="19" s="1"/>
  <c r="L8" i="19"/>
  <c r="L9" i="19" s="1"/>
  <c r="F16" i="19"/>
  <c r="G16" i="19" s="1"/>
  <c r="H16" i="19" s="1"/>
  <c r="I16" i="19" s="1"/>
  <c r="J16" i="19" s="1"/>
  <c r="K17" i="19"/>
  <c r="M17" i="19" s="1"/>
  <c r="L17" i="19"/>
  <c r="K18" i="19"/>
  <c r="M18" i="19" s="1"/>
  <c r="L18" i="19"/>
  <c r="D31" i="9"/>
  <c r="L22" i="19"/>
  <c r="C24" i="19"/>
  <c r="B36" i="8"/>
  <c r="B37" i="8" s="1"/>
  <c r="B38" i="8" s="1"/>
  <c r="C25" i="19"/>
  <c r="D19" i="9"/>
  <c r="D29" i="3"/>
  <c r="D31" i="3" s="1"/>
  <c r="D33" i="3" s="1"/>
  <c r="D21" i="4"/>
  <c r="D28" i="4" s="1"/>
  <c r="D30" i="4" s="1"/>
  <c r="D31" i="4" s="1"/>
  <c r="D38" i="9"/>
  <c r="D12" i="19"/>
  <c r="D13" i="19" s="1"/>
  <c r="E11" i="19"/>
  <c r="D19" i="19"/>
  <c r="E20" i="19"/>
  <c r="F20" i="19" s="1"/>
  <c r="E15" i="19"/>
  <c r="D15" i="19"/>
  <c r="L16" i="19" l="1"/>
  <c r="L15" i="19" s="1"/>
  <c r="K16" i="19"/>
  <c r="D24" i="19"/>
  <c r="D25" i="19" s="1"/>
  <c r="E9" i="19"/>
  <c r="F15" i="19"/>
  <c r="F11" i="19"/>
  <c r="E12" i="19"/>
  <c r="E19" i="19"/>
  <c r="E24" i="19" s="1"/>
  <c r="F9" i="19"/>
  <c r="M16" i="19" l="1"/>
  <c r="M15" i="19" s="1"/>
  <c r="K15" i="19"/>
  <c r="E13" i="19"/>
  <c r="E25" i="19"/>
  <c r="G9" i="19"/>
  <c r="G15" i="19"/>
  <c r="F19" i="19"/>
  <c r="F24" i="19" s="1"/>
  <c r="G20" i="19"/>
  <c r="G11" i="19"/>
  <c r="F12" i="19"/>
  <c r="F13" i="19" s="1"/>
  <c r="F25" i="19" l="1"/>
  <c r="G12" i="19"/>
  <c r="G13" i="19" s="1"/>
  <c r="H11" i="19"/>
  <c r="H15" i="19"/>
  <c r="G19" i="19"/>
  <c r="G24" i="19" s="1"/>
  <c r="H20" i="19"/>
  <c r="H9" i="19"/>
  <c r="G25" i="19" l="1"/>
  <c r="I20" i="19"/>
  <c r="H19" i="19"/>
  <c r="H24" i="19" s="1"/>
  <c r="H12" i="19"/>
  <c r="H13" i="19" s="1"/>
  <c r="I11" i="19"/>
  <c r="I9" i="19"/>
  <c r="I15" i="19"/>
  <c r="H25" i="19" l="1"/>
  <c r="M9" i="19"/>
  <c r="K9" i="19"/>
  <c r="J15" i="19"/>
  <c r="J11" i="19"/>
  <c r="I12" i="19"/>
  <c r="I13" i="19" s="1"/>
  <c r="J9" i="19"/>
  <c r="J20" i="19"/>
  <c r="I19" i="19"/>
  <c r="I24" i="19" s="1"/>
  <c r="K11" i="19" l="1"/>
  <c r="L11" i="19"/>
  <c r="L12" i="19" s="1"/>
  <c r="L13" i="19" s="1"/>
  <c r="K20" i="19"/>
  <c r="L20" i="19"/>
  <c r="L19" i="19" s="1"/>
  <c r="L24" i="19" s="1"/>
  <c r="L25" i="19" s="1"/>
  <c r="K19" i="19"/>
  <c r="K24" i="19" s="1"/>
  <c r="M20" i="19"/>
  <c r="M19" i="19" s="1"/>
  <c r="M24" i="19" s="1"/>
  <c r="M11" i="19"/>
  <c r="M12" i="19" s="1"/>
  <c r="M13" i="19" s="1"/>
  <c r="K12" i="19"/>
  <c r="K13" i="19" s="1"/>
  <c r="I25" i="19"/>
  <c r="J19" i="19"/>
  <c r="J24" i="19" s="1"/>
  <c r="J12" i="19"/>
  <c r="J13" i="19" s="1"/>
  <c r="K25" i="19" l="1"/>
  <c r="M25" i="19"/>
  <c r="J25" i="19"/>
</calcChain>
</file>

<file path=xl/sharedStrings.xml><?xml version="1.0" encoding="utf-8"?>
<sst xmlns="http://schemas.openxmlformats.org/spreadsheetml/2006/main" count="1016" uniqueCount="377">
  <si>
    <t xml:space="preserve">ESTADO DEL RESULTADO INTEGRAL </t>
  </si>
  <si>
    <t>Periodos de presentación:  Enero 1 a diciembre 31 de 2018</t>
  </si>
  <si>
    <t xml:space="preserve">Año </t>
  </si>
  <si>
    <t xml:space="preserve">INGRESOS  </t>
  </si>
  <si>
    <t>INGRESOS OPERACIONALES</t>
  </si>
  <si>
    <t>Ingreso por actividades ordinarias</t>
  </si>
  <si>
    <t>Devoluciones y Descuentos en ventas</t>
  </si>
  <si>
    <t xml:space="preserve">TOTAL INGRESOS </t>
  </si>
  <si>
    <t>COSTO DE VENTAS</t>
  </si>
  <si>
    <t xml:space="preserve">Costo de ventas </t>
  </si>
  <si>
    <t xml:space="preserve">UTILIDAD  OPERACIONAL BRUTA </t>
  </si>
  <si>
    <t>GASTOS OPERACIONALES</t>
  </si>
  <si>
    <t xml:space="preserve">Operacionales de Administración </t>
  </si>
  <si>
    <t>Operacionales de Ventas</t>
  </si>
  <si>
    <t xml:space="preserve">Gastos Depreciación </t>
  </si>
  <si>
    <t>TOTAL GASTOS OPERACIONALES</t>
  </si>
  <si>
    <t xml:space="preserve">UTILIDAD OPERACIONAL </t>
  </si>
  <si>
    <t>INGRESOS NO OPERACIONALES</t>
  </si>
  <si>
    <t>Financieros</t>
  </si>
  <si>
    <t>Otros Ingresos</t>
  </si>
  <si>
    <t>GASTOS NO OPERACIONALES</t>
  </si>
  <si>
    <t>Gastos  Financieros</t>
  </si>
  <si>
    <t xml:space="preserve">Diversos </t>
  </si>
  <si>
    <t>Resultado del Ejercicio antes del ISRL</t>
  </si>
  <si>
    <t>Impuesto de Renta y Complementarios</t>
  </si>
  <si>
    <t xml:space="preserve">RESULTADO NETO DEL EJERCICIO </t>
  </si>
  <si>
    <t>Reserva Legal</t>
  </si>
  <si>
    <t xml:space="preserve">UTILIDADES ACUMULADAS AÑO ACTUAL </t>
  </si>
  <si>
    <t>Periodos de presentación:  Enero 1 a diciembre 31 de 2019</t>
  </si>
  <si>
    <t>Periodos de presentación:  Enero 1 a diciembre 31 de 2020</t>
  </si>
  <si>
    <t>ESTADO DE SITUACION FINANCIERA</t>
  </si>
  <si>
    <t>Periodos de presentación:  Enero 1 a Diciembre 31 de 2018</t>
  </si>
  <si>
    <t xml:space="preserve">ACTIVO </t>
  </si>
  <si>
    <t>Año 2018</t>
  </si>
  <si>
    <t xml:space="preserve">Efectivo y Equivalentes de Efectivo </t>
  </si>
  <si>
    <t>Inventarios</t>
  </si>
  <si>
    <t>Total Activo no corriente</t>
  </si>
  <si>
    <t xml:space="preserve">Total Activo </t>
  </si>
  <si>
    <t>PASIVO</t>
  </si>
  <si>
    <t>Pasivo Corriente</t>
  </si>
  <si>
    <t xml:space="preserve">Cuentas comerciales por pagar y otras cuentas por pagar </t>
  </si>
  <si>
    <t>Pasivos por Impuestos corrientes</t>
  </si>
  <si>
    <t>Beneficios Laborales</t>
  </si>
  <si>
    <t>Total pasivo corriente</t>
  </si>
  <si>
    <t>Pasivo no Corriente</t>
  </si>
  <si>
    <t xml:space="preserve">Obligaciones Financieras </t>
  </si>
  <si>
    <t>Total pasivo no corriente</t>
  </si>
  <si>
    <t xml:space="preserve">Total Pasivo </t>
  </si>
  <si>
    <t xml:space="preserve">PATRIMONIO </t>
  </si>
  <si>
    <t xml:space="preserve">Resultados del Ejercicio </t>
  </si>
  <si>
    <t>Utilidades Acumuladas</t>
  </si>
  <si>
    <t xml:space="preserve">Total Patrimonio </t>
  </si>
  <si>
    <t xml:space="preserve">Total Pasivo + Patrimonio </t>
  </si>
  <si>
    <t>Año 2019</t>
  </si>
  <si>
    <t xml:space="preserve">Cuentas comerciales por cobrar y otras cuentas por cobrar </t>
  </si>
  <si>
    <t xml:space="preserve">Capital persona natural </t>
  </si>
  <si>
    <t>Año 2020</t>
  </si>
  <si>
    <t>Anticipos por impuestos y contribuciones</t>
  </si>
  <si>
    <t>Año 2021</t>
  </si>
  <si>
    <t>ESTADO DE CAMBIOS EN LA SITUACION FINANCIERA</t>
  </si>
  <si>
    <t>Periodos de presentación:  Años  2018, 2019</t>
  </si>
  <si>
    <t>01/01/2019 a 31/12/2019</t>
  </si>
  <si>
    <t>01/01/2018 a 31/12/2018</t>
  </si>
  <si>
    <t>VARIACION ABSOLUTA</t>
  </si>
  <si>
    <t>ACTIVO CORRIENTE</t>
  </si>
  <si>
    <t xml:space="preserve">Aumento o Dism. Efectivos y Equivalentes </t>
  </si>
  <si>
    <t>Aumento o Dism. Ctas por cobrar Comerciales</t>
  </si>
  <si>
    <t>Aumento o Dism. Anticipos por impuestos corrientes</t>
  </si>
  <si>
    <t xml:space="preserve">Aumento o Disminución Inventarios </t>
  </si>
  <si>
    <t>TOTAL ACTIVO CORRIENTE</t>
  </si>
  <si>
    <t>ACTIVO NO CORRIENTE</t>
  </si>
  <si>
    <t>Aumento o Dism. Propiedad Planta y Equipo</t>
  </si>
  <si>
    <t>TOTAL ACTIVO NO CORRIENTE</t>
  </si>
  <si>
    <t xml:space="preserve">TOTAL  ACTIVO </t>
  </si>
  <si>
    <t xml:space="preserve">PASIVO </t>
  </si>
  <si>
    <t>PASIVO CORRIENTE</t>
  </si>
  <si>
    <t xml:space="preserve">Aumento o Dism. Ctas por Pagar comerciales </t>
  </si>
  <si>
    <t xml:space="preserve">Aumento o Dism.Pasivos por impuestos corrientes </t>
  </si>
  <si>
    <t>TOTAL PASIVO CORRIENTE</t>
  </si>
  <si>
    <t>PASIVO NO CORRIENTE</t>
  </si>
  <si>
    <t xml:space="preserve">Aumento o Dism.. Oblig. Financieras no corrientes </t>
  </si>
  <si>
    <t xml:space="preserve">Aumento o Dism. Otros pasivos no  Corrientes  </t>
  </si>
  <si>
    <t>TOTAL PASIVO NO CORRIENTE</t>
  </si>
  <si>
    <t xml:space="preserve">TOTAL PASIVO </t>
  </si>
  <si>
    <t xml:space="preserve">Aumento o Disminución Capital Social </t>
  </si>
  <si>
    <t xml:space="preserve">Aumento o Dism. Resultados Acumulados   </t>
  </si>
  <si>
    <t>Aumento o Dism.Resultados del  Ejercicio</t>
  </si>
  <si>
    <t xml:space="preserve">TOTAL PATRIMONIO </t>
  </si>
  <si>
    <t>TOTAL  PASIVO Y PATRIMONIO</t>
  </si>
  <si>
    <t>01/01/2020 a 31/12/2020</t>
  </si>
  <si>
    <t xml:space="preserve">ESTADO DE CAMBIOS EN EL PATRIMONIO </t>
  </si>
  <si>
    <t>Periodos de presentación: Años  2018, 2019</t>
  </si>
  <si>
    <t>Evento</t>
  </si>
  <si>
    <t>Capital Social</t>
  </si>
  <si>
    <t>Reservas</t>
  </si>
  <si>
    <t>Resultado del Ejercicio</t>
  </si>
  <si>
    <t>Superavit de Capital</t>
  </si>
  <si>
    <t>utilidades Acumuladas</t>
  </si>
  <si>
    <t>Periodo: Enero 1 a diciembre 31 de 2018</t>
  </si>
  <si>
    <t>Saldo Inicial</t>
  </si>
  <si>
    <t xml:space="preserve">Capital Social </t>
  </si>
  <si>
    <t xml:space="preserve">Resultado Neto del Ejercicio </t>
  </si>
  <si>
    <t>-</t>
  </si>
  <si>
    <t xml:space="preserve">Utilidades Acumuladas </t>
  </si>
  <si>
    <t>SALDO A DICIEMBRE 31 DE 2018</t>
  </si>
  <si>
    <t>Periodo: Enero 1 a diciembre 31 de 2019</t>
  </si>
  <si>
    <t>SALDO A DICIEMBRE 31 DE 2019</t>
  </si>
  <si>
    <t>Periodo: Enero 1 a diciembre 31 de 2020</t>
  </si>
  <si>
    <t>SALDO A DICIEMBRE 31 DE 2020</t>
  </si>
  <si>
    <t>ESTADO DE FLUJO DE EFECTIVO</t>
  </si>
  <si>
    <t>Periodos de presentación: Enero 1 a diciembre 31 de  2018</t>
  </si>
  <si>
    <t>De: 01/01/2018               a: 31/12/2018</t>
  </si>
  <si>
    <t xml:space="preserve">EFECTIVO AL INICIO DEL PERIODO </t>
  </si>
  <si>
    <t xml:space="preserve">ACTIVIDADES DE OPERACIÓN </t>
  </si>
  <si>
    <t xml:space="preserve">Resultado del Ejercicio </t>
  </si>
  <si>
    <t xml:space="preserve">Depreciación </t>
  </si>
  <si>
    <t xml:space="preserve">Efectivo Generado en la Operación </t>
  </si>
  <si>
    <t>Cambio en partidas operacionales:</t>
  </si>
  <si>
    <t>Aumento o Disminución Cuentas por Cobrar comerciales</t>
  </si>
  <si>
    <t>Aumento o Disminucion de Inventarios</t>
  </si>
  <si>
    <t>Aumento o Disminución anticipo por impuestos corrientes</t>
  </si>
  <si>
    <t xml:space="preserve">Aumento o Disminución en activos por impuestos diferidos </t>
  </si>
  <si>
    <t xml:space="preserve">Aumento o Disminución cuentas por pagar comerciales </t>
  </si>
  <si>
    <t>Aumento o Disminución otras cuentas por pagar</t>
  </si>
  <si>
    <t xml:space="preserve">Aumento o Disminución Imptos por pagar </t>
  </si>
  <si>
    <t>Aumento o Disminución Beneficio Empleados</t>
  </si>
  <si>
    <t>Aumento o Disminución  Otros Pasivos no corrientes</t>
  </si>
  <si>
    <t xml:space="preserve">Efectivo Provisto por Actividades de Operación </t>
  </si>
  <si>
    <t xml:space="preserve">ACTIVIDADES DE INVERSION </t>
  </si>
  <si>
    <t>Aumento o Disminución Propiedad Planta y Equipo</t>
  </si>
  <si>
    <t xml:space="preserve">Compra de Activos fijos </t>
  </si>
  <si>
    <t xml:space="preserve">Efectivo Provisto por Actividades de Inversión </t>
  </si>
  <si>
    <t xml:space="preserve">ACTIVIDADES DE FINANCIACION </t>
  </si>
  <si>
    <t>Aumento o Disminución de capital social suscrito</t>
  </si>
  <si>
    <t>Aumento o Disminución obligaciones bancarias corrientes</t>
  </si>
  <si>
    <t>Aumento o Disminución obligaciones bancarias no  corrientes</t>
  </si>
  <si>
    <t xml:space="preserve">Efectivo Provisto por Actividades de Financiación </t>
  </si>
  <si>
    <t xml:space="preserve">Variacion del Efectivo provisto  utilizado </t>
  </si>
  <si>
    <t>Efectivo al final del periodo</t>
  </si>
  <si>
    <t xml:space="preserve">Efectivo al inicio del periodo </t>
  </si>
  <si>
    <t xml:space="preserve">EFECTIVO Y SU EQUIVALENTE AL FINAL DEL PERIODO </t>
  </si>
  <si>
    <t>Periodos de presentación: Enero 1 a diciembre 31 de  2019</t>
  </si>
  <si>
    <t>De: 01/01/2019               a: 31/12/2019</t>
  </si>
  <si>
    <t>AÑOS</t>
  </si>
  <si>
    <t>ENTRADAS DE EFECTIVO</t>
  </si>
  <si>
    <t>Ingresos  por Actividades Ordinarias (Ventas)</t>
  </si>
  <si>
    <t xml:space="preserve">Inventarios </t>
  </si>
  <si>
    <t>Total Ingresos efectivo</t>
  </si>
  <si>
    <t>Otros ingresos por actividades secundarias</t>
  </si>
  <si>
    <t>TOTAL OTROS INGRESOS NO OPERACIONALES</t>
  </si>
  <si>
    <t xml:space="preserve">SALIDAS DE EFECTIVO </t>
  </si>
  <si>
    <t>COSTOS Y GASTOS OPERACIONALES</t>
  </si>
  <si>
    <t>Gastos Operacionales de Administración</t>
  </si>
  <si>
    <t xml:space="preserve">Gastos Operacionales en Ventas </t>
  </si>
  <si>
    <t>Pago Costo de ventas</t>
  </si>
  <si>
    <t xml:space="preserve">Gastos de subsistencia del deudor </t>
  </si>
  <si>
    <t xml:space="preserve">Gastos de mantenimiento y conservación de los bienes </t>
  </si>
  <si>
    <t>Gastos de procedimiento</t>
  </si>
  <si>
    <t>PAGO DE ACREEDORES</t>
  </si>
  <si>
    <t>PERIODO DE GRACIA</t>
  </si>
  <si>
    <t xml:space="preserve">Subtotal salidas de Efectivo </t>
  </si>
  <si>
    <t>flujo de caja neto efectivo disponible para inversión</t>
  </si>
  <si>
    <t>RELACION DETALLADA DE  ACTIVOS Y PASIVOS</t>
  </si>
  <si>
    <t xml:space="preserve">DETALLE DE CUENTAS </t>
  </si>
  <si>
    <t xml:space="preserve">VALOR ESTIMADO </t>
  </si>
  <si>
    <t xml:space="preserve">VR. TOTAL  ACTIVOS </t>
  </si>
  <si>
    <t xml:space="preserve">VR. TOTAL  PASIVOS </t>
  </si>
  <si>
    <t xml:space="preserve"> OBLIGATORIEDAD  Y TENENCIA DE LOS BIENES</t>
  </si>
  <si>
    <t>GARANTIA</t>
  </si>
  <si>
    <t>ACTIVOS</t>
  </si>
  <si>
    <t>DISPONIBLE</t>
  </si>
  <si>
    <t>N.A</t>
  </si>
  <si>
    <t xml:space="preserve">Efectivo y Equivalentes de efectivo </t>
  </si>
  <si>
    <t>PROPIEDAD PLANTA Y EQUIPO</t>
  </si>
  <si>
    <t>Construcciones y edificaciones</t>
  </si>
  <si>
    <t>TOTAL ACTIVO</t>
  </si>
  <si>
    <t>PASIVOS</t>
  </si>
  <si>
    <t>OBLIGACIONES GANTIZADAS CON PAGARE</t>
  </si>
  <si>
    <t>TOTAL PASIVO</t>
  </si>
  <si>
    <t>RELACION DETALLADA DE  ACREEDORES</t>
  </si>
  <si>
    <t xml:space="preserve">NOMBRE </t>
  </si>
  <si>
    <t xml:space="preserve">IDENTIFICACION </t>
  </si>
  <si>
    <t>DIRECCION</t>
  </si>
  <si>
    <t xml:space="preserve">CIUDAD </t>
  </si>
  <si>
    <t xml:space="preserve">TIPO DE ACREENCIA </t>
  </si>
  <si>
    <t xml:space="preserve">GARANTIA </t>
  </si>
  <si>
    <t xml:space="preserve">FECHA DE CAUSACION </t>
  </si>
  <si>
    <t xml:space="preserve">FECHA DE VENCIMIENTO </t>
  </si>
  <si>
    <t xml:space="preserve">DIAS EN MORA </t>
  </si>
  <si>
    <t xml:space="preserve">CAPITAL INICIAL </t>
  </si>
  <si>
    <t xml:space="preserve">INTERESES GENERADOS A LA FECHA </t>
  </si>
  <si>
    <t xml:space="preserve">SALDO DE CAPITAL EN MORA A LA FECHA DE RADICACION </t>
  </si>
  <si>
    <t xml:space="preserve">TASA PACTADA </t>
  </si>
  <si>
    <t>REPRESENTATIVIDAD FRENTE AL PASIVO</t>
  </si>
  <si>
    <t>BUCARAMANGA</t>
  </si>
  <si>
    <t xml:space="preserve">PAGARE </t>
  </si>
  <si>
    <t xml:space="preserve">SE DESCONOCE </t>
  </si>
  <si>
    <t xml:space="preserve">TOTAL </t>
  </si>
  <si>
    <t>Representante Legal</t>
  </si>
  <si>
    <t>Periodos de presentación:  Años  2019, 2020</t>
  </si>
  <si>
    <t>Periodos de presentación:  Años  2020, 2021</t>
  </si>
  <si>
    <t>Periodos de presentación: Años  2019, 2020</t>
  </si>
  <si>
    <t>Periodos de presentación: Años  2020, 2021</t>
  </si>
  <si>
    <t>Periodo de presentación</t>
  </si>
  <si>
    <t>COSTOS Y GASTOS NO OPERACIONALES</t>
  </si>
  <si>
    <t>Periodos de presentación: Enero 1 a diciembre 31 de  2020</t>
  </si>
  <si>
    <t>De: 01/01/2020                      a: 31/12/2020</t>
  </si>
  <si>
    <t>14,05%E.A</t>
  </si>
  <si>
    <t>16,05%E.A</t>
  </si>
  <si>
    <t>16,23%E.A</t>
  </si>
  <si>
    <t>RELACION DETALLADA DE MUEBLES Y ENSERES</t>
  </si>
  <si>
    <t xml:space="preserve">CANTIDAD </t>
  </si>
  <si>
    <t xml:space="preserve">DESCRIPCION </t>
  </si>
  <si>
    <t xml:space="preserve">V.UNITARIO </t>
  </si>
  <si>
    <t xml:space="preserve">VR.TOTAL </t>
  </si>
  <si>
    <t>TENENCIA Y UBICACIÓN DEL BIEN</t>
  </si>
  <si>
    <t>ESCRITORIO DE MADERA</t>
  </si>
  <si>
    <t xml:space="preserve">SILLA GIRATORIA PARA ESCRITORIO </t>
  </si>
  <si>
    <t>EN EL DOMICILIO COMERCIAL DEL DEUDOR</t>
  </si>
  <si>
    <t>Muebles y equipos de oficina</t>
  </si>
  <si>
    <t>Equipos de computo y comunicaciones</t>
  </si>
  <si>
    <t>BANCO DAVIVIENDA</t>
  </si>
  <si>
    <t>OTROS PASIVOS</t>
  </si>
  <si>
    <t>MLV</t>
  </si>
  <si>
    <t>860.034.313-7</t>
  </si>
  <si>
    <t>CALLE 36 #18-40</t>
  </si>
  <si>
    <t>25,70%E.A</t>
  </si>
  <si>
    <t>IMPRESORA</t>
  </si>
  <si>
    <t>ARCHIVADOR</t>
  </si>
  <si>
    <t>PULIDORA</t>
  </si>
  <si>
    <t>VAPORETO</t>
  </si>
  <si>
    <t>SOPLADOR</t>
  </si>
  <si>
    <t>HIDROLAVADORA</t>
  </si>
  <si>
    <t>CAJA DE COPAS</t>
  </si>
  <si>
    <t>HERRAMIENTA DE MANO</t>
  </si>
  <si>
    <t>JUEGO DE DESTORNILLADOR DE ALTO VOLTAJE</t>
  </si>
  <si>
    <t>LLAVE DE EXPASION</t>
  </si>
  <si>
    <t>LLAVES DE TUBO</t>
  </si>
  <si>
    <t>PINZA AMPERIMETRICA</t>
  </si>
  <si>
    <t>TESTER</t>
  </si>
  <si>
    <t>KIT DE MONITOREO PARA REFRIGERACION</t>
  </si>
  <si>
    <t>ESCALERA METALICA</t>
  </si>
  <si>
    <t>EQUIPO DE SOLDADURA AUTOGENA</t>
  </si>
  <si>
    <t>TALADRO PORTATIL</t>
  </si>
  <si>
    <t>COMPUTADOR DE MESA</t>
  </si>
  <si>
    <t>CAJA DE HERAMIENTAS</t>
  </si>
  <si>
    <t>Vehiculos</t>
  </si>
  <si>
    <t>Periodos de presentación:  Enero 1 a Diciembre 31 de 2019</t>
  </si>
  <si>
    <t>Inversiones</t>
  </si>
  <si>
    <t>BANCO COLPATRIA</t>
  </si>
  <si>
    <t>860.034.594-1</t>
  </si>
  <si>
    <t>CLL 51 # 34-48</t>
  </si>
  <si>
    <t>ARTURO GARCIA CONTRERAS</t>
  </si>
  <si>
    <t>NIT. 13.822.557-5</t>
  </si>
  <si>
    <t>ALCALDIA DE BUCARAMANGA</t>
  </si>
  <si>
    <t>890.201.222-0</t>
  </si>
  <si>
    <t>CRA 11 No. 34-52</t>
  </si>
  <si>
    <t>IMPUESTO DE INDUSTRIA Y COMERCIO 2018</t>
  </si>
  <si>
    <t>N/A</t>
  </si>
  <si>
    <t>IMPUESTO DE INDUSTRIA Y COMERCIO 2010</t>
  </si>
  <si>
    <t>IMPUESTO DE INDUSTRIA Y COMERCIO 2020</t>
  </si>
  <si>
    <t>RETEICA JULIO 2021</t>
  </si>
  <si>
    <t xml:space="preserve">CREDITO ORDINARIO HIPOTECARIO # 600205581 PARA APALANCAMIENTO FINANCIERO DE LA ACTIVIDAD COMERCIAL </t>
  </si>
  <si>
    <t xml:space="preserve">CREDITO ORDINARIO  #600205636  PARA APALANCAMIENTO FINANCIERO DE LA ACTIVIDAD COMERCIAL </t>
  </si>
  <si>
    <t>860.034.313-8</t>
  </si>
  <si>
    <t>CALLE 36 #18-41</t>
  </si>
  <si>
    <t>CALLE 36 #18-42</t>
  </si>
  <si>
    <t xml:space="preserve">CREDITO ORDINARIO  # 600142176  PARA APALANCAMIENTO FINANCIERO DE LA ACTIVIDAD COMERCIAL </t>
  </si>
  <si>
    <t xml:space="preserve">CREDITO ORDINARIO VEHICULO # 050109983 PARA APALANCAMIENTO FINANCIERO DE LA ACTIVIDAD COMERCIAL </t>
  </si>
  <si>
    <t xml:space="preserve">CREDITO ORDINARIO TC  # 003607937  PARA APALANCAMIENTO FINANCIERO DE LA ACTIVIDAD COMERCIAL </t>
  </si>
  <si>
    <t xml:space="preserve">CREDITO ORDINARIO TC  # 552336113  PARA APALANCAMIENTO FINANCIERO DE LA ACTIVIDAD COMERCIAL </t>
  </si>
  <si>
    <t xml:space="preserve">CREDITO ORDINARIO TC  # 447198882 PARA APALANCAMIENTO FINANCIERO DE LA ACTIVIDAD COMERCIAL </t>
  </si>
  <si>
    <t>BANCOLOMBIA SUFI</t>
  </si>
  <si>
    <t>890.903.938 - 8</t>
  </si>
  <si>
    <t>CLL 35 9-81</t>
  </si>
  <si>
    <t xml:space="preserve">CREDITO ORDINARIO VEHICULO # 001247132 PARA APALANCAMIENTO FINANCIERO DE LA ACTIVIDAD COMERCIAL </t>
  </si>
  <si>
    <t xml:space="preserve">BANCOLOMBIA </t>
  </si>
  <si>
    <t>CLL 35 9-82</t>
  </si>
  <si>
    <t xml:space="preserve">CREDITO ORDINARIO # 530372989 PARA APALANCAMIENTO FINANCIERO DE LA ACTIVIDAD COMERCIAL </t>
  </si>
  <si>
    <t>BANCO DE BOGOTA</t>
  </si>
  <si>
    <t>860.002.964-4</t>
  </si>
  <si>
    <t>Cra. 17 #No. 35 - 06</t>
  </si>
  <si>
    <t xml:space="preserve">CREDITO ORDINARIO # 0000953029 PARA APALANCAMIENTO FINANCIERO DE LA ACTIVIDAD COMERCIAL </t>
  </si>
  <si>
    <t xml:space="preserve">TARJETA DE CREDITO  # 0200000700 PARA APALANCAMIENTO FINANCIERO DE LA ACTIVIDAD COMERCIAL </t>
  </si>
  <si>
    <t>FINANPRIMAS</t>
  </si>
  <si>
    <t>805.012.610-5</t>
  </si>
  <si>
    <t>Calle 2 Oeste # 26 A 12</t>
  </si>
  <si>
    <t>CALI</t>
  </si>
  <si>
    <t>CREDITO ORDINARIO DE PRESTAMO DE PRIMAS</t>
  </si>
  <si>
    <t>BANCO FALLABELLA</t>
  </si>
  <si>
    <t>900.047.981-8</t>
  </si>
  <si>
    <t>Tv. 93 #34-99</t>
  </si>
  <si>
    <t xml:space="preserve">CREDITO ORDINARIO TC  # 821425000 PARA APALANCAMIENTO FINANCIERO DE LA ACTIVIDAD COMERCIAL </t>
  </si>
  <si>
    <t>CREDIVALORES</t>
  </si>
  <si>
    <t>805.025.964-3</t>
  </si>
  <si>
    <t>CLL 36 32-89</t>
  </si>
  <si>
    <t xml:space="preserve">CREDITO ORDINARIO # 003103549 PARA APALANCAMIENTO FINANCIERO DE LA ACTIVIDAD COMERCIAL </t>
  </si>
  <si>
    <t>AGROMUNDO</t>
  </si>
  <si>
    <t>800.218.654-6</t>
  </si>
  <si>
    <t>CLL 15 16-36</t>
  </si>
  <si>
    <t>PROVEEDOR</t>
  </si>
  <si>
    <t>FACTURA</t>
  </si>
  <si>
    <t>DESARROLLO QUIMICO FARMACEUTICO SAS DQSA</t>
  </si>
  <si>
    <t>AK 129 22B 57 B15</t>
  </si>
  <si>
    <t>BOGOTA</t>
  </si>
  <si>
    <t>DVA DE COLOMBIA LTDA</t>
  </si>
  <si>
    <t>830.122.777-9</t>
  </si>
  <si>
    <t>Km 1.5 Vía Chía – Cajicá Costado Occidental Edificio OXUS, Oficina 509, Bogotá, Chia, Cundinamarca</t>
  </si>
  <si>
    <t>FORMULAS Y SERVICIOS PROFESIONALES SAS</t>
  </si>
  <si>
    <t>900.558.195-8</t>
  </si>
  <si>
    <t>CARRERA 12 C 9 30</t>
  </si>
  <si>
    <t>GONZALOS DIAZ PALOMINO</t>
  </si>
  <si>
    <t>INDUSTRIA AGROQUIMICA QUIMZUL-AGRO SAS</t>
  </si>
  <si>
    <t>900.400.815-7</t>
  </si>
  <si>
    <t>VIA CALERA GUASCA VRD BUENOS AIRES ALTO SAN FELIPE KM 5</t>
  </si>
  <si>
    <t>INSUMOS AGRICOLAS DE LOS ANDES SAS INSUANDES</t>
  </si>
  <si>
    <t>900.753.942-9</t>
  </si>
  <si>
    <t>CALLE 61 NTE 3 B BIS 56 OF 302</t>
  </si>
  <si>
    <t>LUYMA SA</t>
  </si>
  <si>
    <t>Avenida Calle 6 #4799</t>
  </si>
  <si>
    <t>PRODUCTO AGROQUIMICOS Y FERTILIZANTES SAS</t>
  </si>
  <si>
    <t>900.893.633-8</t>
  </si>
  <si>
    <t>Cl 15 19-60</t>
  </si>
  <si>
    <t>SFC LABORATORIOS LTDA</t>
  </si>
  <si>
    <t>830.001.242-1</t>
  </si>
  <si>
    <t>Carrera 106 N° 15 A - 25</t>
  </si>
  <si>
    <t xml:space="preserve">SOLUCIONES NUTRITIVAS SAS </t>
  </si>
  <si>
    <t>900.078.532-7</t>
  </si>
  <si>
    <t>CARRERA 32 10 73</t>
  </si>
  <si>
    <t>JOHN JAIRO MAESTRE AREVALO</t>
  </si>
  <si>
    <t>Impuesto de industria y comercio 2018</t>
  </si>
  <si>
    <t>Impuesto de industria y comercio 2019</t>
  </si>
  <si>
    <t>Impuesto de industria y comercio 2020</t>
  </si>
  <si>
    <t>Impuesto de retencion de ICA Julio 2021</t>
  </si>
  <si>
    <t>Crédito ordinario No. 600205581</t>
  </si>
  <si>
    <t>Crédito ordinario No. 600105636</t>
  </si>
  <si>
    <t>Crédito ordinario No. 600142176</t>
  </si>
  <si>
    <t>Crédito ordinario No. 050109983</t>
  </si>
  <si>
    <t>Crédito ordinario No. 003607937</t>
  </si>
  <si>
    <t>Crédito ordinario No. 552336113</t>
  </si>
  <si>
    <t>Crédito ordinario No. 447198882</t>
  </si>
  <si>
    <t>BANCOLOMBIA</t>
  </si>
  <si>
    <t>Crédito ordinario Sufi No. 001247132</t>
  </si>
  <si>
    <t>Crédito ordinario  No. 530372989</t>
  </si>
  <si>
    <t>Crédito ordinario  No. 0000953029</t>
  </si>
  <si>
    <t>Crédito ordinario No. 0200000700</t>
  </si>
  <si>
    <t>Crédito ordinario No. 200743953</t>
  </si>
  <si>
    <t>Crédito ordinario No. 821425000</t>
  </si>
  <si>
    <t>Crédito ordinario No. 003103549</t>
  </si>
  <si>
    <t>Devoluciones y descuentos</t>
  </si>
  <si>
    <t>Flota y equipo de transporte</t>
  </si>
  <si>
    <t>Acreedores varios otros pasivos</t>
  </si>
  <si>
    <t>Pension de jubilacion</t>
  </si>
  <si>
    <t>Aumento o Dism. Pasivos por acreedores varios otros pasivos</t>
  </si>
  <si>
    <t>Aumento o Disminución Invensiones</t>
  </si>
  <si>
    <t>Aumento o Disminución Inversiones</t>
  </si>
  <si>
    <t>Bien necesario para el desarrollo de la actividad operacional (Transporte de carga por carretera), y se encuentra en tenencia del deudor.</t>
  </si>
  <si>
    <t xml:space="preserve">Construcciones y edificaciones
</t>
  </si>
  <si>
    <t>CONTRATO PROMESA COMPRAVENTA LOTE TERRENO URBANIZACION ALTOS DE ALAMOS OCAÑA NORTE DE SANTANDER. EL CONTRATO PROMESA DE COMPRAVENTA SE REALIZO ENTRE EL SEÑOR JUAN GUILLERMO NAVARRO FLORES CON CC 88.237.823 DE CUCUTA Y EL SEÑOR ARTURO CONTRERAS CON CC 13.822.557, EL DIA 21 DE SEPTIEMBRE DE 2015.</t>
  </si>
  <si>
    <t>Cuentas por cobrar</t>
  </si>
  <si>
    <t>Deudores Cliente (Se anexa listado de los clientes que tienen cuentas por pagar)</t>
  </si>
  <si>
    <t>Impuestos y obligaciones</t>
  </si>
  <si>
    <t xml:space="preserve">Flota y equipo de transporte
</t>
  </si>
  <si>
    <t>*Camion WOL135 Chevrolet NQR Modelo 2018 Furgon Diesel Capacidad 4900, Color Blaco Galaxia, Numero de Motor 4HK1-645672/ Limitacion a propiedad Prenda Bancolombia SA
* Camion WOL136 Chevrolet NQR Modelo 2018 Furgon Diesel Capacidad 4900,Color Blaco Galaxia, Numero de Motor 4HK1-644129/ Limitacion a propiedad Prenda Banco de Bogota
*Camion WOL126 Chevrolet NQR Modelo 2018 Furgon Diesel Capacidad 4900. Color Blaco Galaxia.
* Camioneta Ford Eco Sport Modelo 2015, Color Plata Puro, Motor AOJAF8516629 Servicio particular / Prenda Bancolombia SA</t>
  </si>
  <si>
    <t>FLUJO DE CAJA PROYECTADO  2021-2032</t>
  </si>
  <si>
    <t xml:space="preserve">Inversiones
Acciones
DISTRIBUCIONES AGROVETERINARIAS J/A SAS NIT 901.311.489-0
</t>
  </si>
  <si>
    <t>SE DESCONOCE</t>
  </si>
  <si>
    <t xml:space="preserve">PRESTAMO PERSONA NATURAL PARA APALANCAMIENTO FINANCIERO DE LA ACTIVIDAD COMERCIAL </t>
  </si>
  <si>
    <t>LETRA DE CAMBIO</t>
  </si>
  <si>
    <t>Periodos de presentación:  Enero 1 a noviembre 30 de 2021</t>
  </si>
  <si>
    <t>01/01/2021 a 30/11/2021</t>
  </si>
  <si>
    <t>SALDO A NOVIEMBRE 30 DE 2021</t>
  </si>
  <si>
    <t>Periodo: Enero 1 a  noviembre 30 de 2021</t>
  </si>
  <si>
    <t>Periodos de presentación: Enero 1 a noviembre 30 de 2021</t>
  </si>
  <si>
    <t>De: 01/01/2021                      a: 30/11/2021</t>
  </si>
  <si>
    <t>Con corte a:  Noviembre 30 de 2021</t>
  </si>
  <si>
    <t>CON CORTE A : NOVIEMBRE 30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</si>
</sst>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quot;$&quot;\ #,##0"/>
    <numFmt numFmtId="165" formatCode="_-&quot;$&quot;\ * #,##0_-;\-&quot;$&quot;\ * #,##0_-;_-&quot;$&quot;\ *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theme="1"/>
      <name val="Arial"/>
      <family val="2"/>
    </font>
    <font>
      <b/>
      <sz val="8"/>
      <color theme="1"/>
      <name val="Arial"/>
      <family val="2"/>
    </font>
    <font>
      <b/>
      <u/>
      <sz val="9"/>
      <color theme="1"/>
      <name val="Arial"/>
      <family val="2"/>
    </font>
    <font>
      <sz val="9"/>
      <color theme="1"/>
      <name val="Arial"/>
      <family val="2"/>
    </font>
    <font>
      <sz val="8"/>
      <color theme="1"/>
      <name val="Arial"/>
      <family val="2"/>
    </font>
    <font>
      <i/>
      <sz val="9"/>
      <color theme="1"/>
      <name val="Arial"/>
      <family val="2"/>
    </font>
    <font>
      <sz val="10"/>
      <color theme="1"/>
      <name val="Arial"/>
      <family val="2"/>
    </font>
    <font>
      <b/>
      <sz val="11"/>
      <color theme="1"/>
      <name val="Comic Sans MS"/>
      <family val="4"/>
    </font>
    <font>
      <b/>
      <sz val="9"/>
      <color theme="1"/>
      <name val="Calibri"/>
      <family val="2"/>
      <scheme val="minor"/>
    </font>
    <font>
      <b/>
      <sz val="9"/>
      <color theme="1"/>
      <name val="Garamond"/>
      <family val="1"/>
    </font>
    <font>
      <b/>
      <sz val="10"/>
      <color theme="1"/>
      <name val="Garamond"/>
      <family val="1"/>
    </font>
    <font>
      <i/>
      <sz val="9"/>
      <color theme="1"/>
      <name val="Calibri"/>
      <family val="2"/>
      <scheme val="minor"/>
    </font>
    <font>
      <b/>
      <sz val="9"/>
      <color theme="1"/>
      <name val="Comic Sans MS"/>
      <family val="4"/>
    </font>
    <font>
      <sz val="10"/>
      <color theme="1"/>
      <name val="Comic Sans MS"/>
      <family val="4"/>
    </font>
    <font>
      <b/>
      <sz val="10"/>
      <color theme="1"/>
      <name val="Comic Sans MS"/>
      <family val="4"/>
    </font>
    <font>
      <b/>
      <sz val="10"/>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b/>
      <i/>
      <sz val="9"/>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sz val="11"/>
      <color theme="1"/>
      <name val="Calibri"/>
      <family val="2"/>
      <scheme val="minor"/>
    </font>
    <font>
      <b/>
      <sz val="12"/>
      <color theme="1"/>
      <name val="Calibri"/>
      <family val="2"/>
    </font>
    <font>
      <sz val="12"/>
      <color theme="1"/>
      <name val="Calibri"/>
      <family val="2"/>
    </font>
    <font>
      <b/>
      <sz val="14"/>
      <color theme="1"/>
      <name val="Cambria"/>
      <family val="1"/>
    </font>
    <font>
      <b/>
      <sz val="14"/>
      <color theme="1"/>
      <name val="Calibri"/>
      <family val="2"/>
    </font>
    <font>
      <sz val="14"/>
      <color theme="1"/>
      <name val="Calibri"/>
      <family val="2"/>
      <scheme val="minor"/>
    </font>
    <font>
      <b/>
      <sz val="14"/>
      <color theme="1"/>
      <name val="Calibri"/>
      <family val="2"/>
      <scheme val="minor"/>
    </font>
    <font>
      <b/>
      <u/>
      <sz val="9"/>
      <color rgb="FF000000"/>
      <name val="Arial"/>
      <family val="2"/>
    </font>
    <font>
      <b/>
      <sz val="9"/>
      <color rgb="FF000000"/>
      <name val="Arial"/>
      <family val="2"/>
    </font>
    <font>
      <sz val="9"/>
      <color rgb="FF000000"/>
      <name val="Arial"/>
      <family val="2"/>
    </font>
    <font>
      <sz val="8"/>
      <color rgb="FF000000"/>
      <name val="Arial"/>
      <family val="2"/>
    </font>
    <font>
      <b/>
      <sz val="8"/>
      <color rgb="FF000000"/>
      <name val="Arial"/>
      <family val="2"/>
    </font>
    <font>
      <b/>
      <sz val="12"/>
      <color theme="1"/>
      <name val="Arial"/>
      <family val="2"/>
    </font>
    <font>
      <b/>
      <sz val="11"/>
      <color theme="1"/>
      <name val="Garamond"/>
      <family val="1"/>
    </font>
    <font>
      <sz val="11"/>
      <color theme="1"/>
      <name val="Garamond"/>
      <family val="1"/>
    </font>
    <font>
      <b/>
      <sz val="16"/>
      <color theme="1"/>
      <name val="Arial"/>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51">
    <border>
      <left/>
      <right/>
      <top/>
      <bottom/>
      <diagonal/>
    </border>
    <border>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cellStyleXfs>
  <cellXfs count="380">
    <xf numFmtId="0" fontId="0" fillId="0" borderId="0" xfId="0"/>
    <xf numFmtId="0" fontId="3" fillId="0" borderId="1" xfId="0" applyFont="1" applyBorder="1"/>
    <xf numFmtId="0" fontId="4" fillId="2" borderId="0" xfId="0" applyFont="1" applyFill="1" applyAlignment="1">
      <alignment horizontal="center" vertical="center"/>
    </xf>
    <xf numFmtId="0" fontId="5" fillId="2" borderId="2" xfId="0" applyFont="1" applyFill="1" applyBorder="1" applyAlignment="1">
      <alignment horizontal="center" vertical="center"/>
    </xf>
    <xf numFmtId="0" fontId="6" fillId="2" borderId="0" xfId="0" applyFont="1" applyFill="1" applyAlignment="1">
      <alignment horizontal="center" vertical="center" wrapText="1"/>
    </xf>
    <xf numFmtId="0" fontId="0" fillId="0" borderId="0" xfId="0" applyAlignment="1">
      <alignment wrapText="1"/>
    </xf>
    <xf numFmtId="0" fontId="7" fillId="3" borderId="0" xfId="0" applyFont="1" applyFill="1" applyAlignment="1">
      <alignment vertical="center"/>
    </xf>
    <xf numFmtId="0" fontId="8" fillId="3" borderId="0" xfId="0" applyFont="1" applyFill="1" applyAlignment="1">
      <alignment vertical="center"/>
    </xf>
    <xf numFmtId="0" fontId="6" fillId="3" borderId="0" xfId="0" applyFont="1" applyFill="1" applyAlignment="1">
      <alignment horizontal="center" vertical="center"/>
    </xf>
    <xf numFmtId="1" fontId="6" fillId="3" borderId="0" xfId="0" applyNumberFormat="1" applyFont="1" applyFill="1" applyAlignment="1">
      <alignment horizontal="center" vertical="center"/>
    </xf>
    <xf numFmtId="42" fontId="9" fillId="3" borderId="0" xfId="0" applyNumberFormat="1" applyFont="1" applyFill="1" applyAlignment="1">
      <alignment vertical="center"/>
    </xf>
    <xf numFmtId="0" fontId="8" fillId="4" borderId="0" xfId="0" applyFont="1" applyFill="1" applyAlignment="1">
      <alignment vertical="center"/>
    </xf>
    <xf numFmtId="42" fontId="6" fillId="4" borderId="0" xfId="0" applyNumberFormat="1" applyFont="1" applyFill="1" applyAlignment="1">
      <alignment vertical="center"/>
    </xf>
    <xf numFmtId="0" fontId="5" fillId="3" borderId="0" xfId="0" applyFont="1" applyFill="1" applyAlignment="1">
      <alignment vertical="center"/>
    </xf>
    <xf numFmtId="42" fontId="6" fillId="3" borderId="0" xfId="0" applyNumberFormat="1" applyFont="1" applyFill="1" applyAlignment="1">
      <alignment horizontal="right" vertical="center"/>
    </xf>
    <xf numFmtId="42" fontId="9" fillId="3" borderId="3" xfId="0" applyNumberFormat="1" applyFont="1" applyFill="1" applyBorder="1" applyAlignment="1">
      <alignment horizontal="right" vertical="center"/>
    </xf>
    <xf numFmtId="42" fontId="9" fillId="3" borderId="0" xfId="0" applyNumberFormat="1" applyFont="1" applyFill="1" applyAlignment="1">
      <alignment horizontal="right" vertical="center"/>
    </xf>
    <xf numFmtId="0" fontId="8" fillId="3" borderId="0" xfId="0" applyFont="1" applyFill="1" applyAlignment="1">
      <alignment horizontal="left" vertical="center"/>
    </xf>
    <xf numFmtId="42" fontId="6" fillId="3" borderId="3" xfId="0" applyNumberFormat="1" applyFont="1" applyFill="1" applyBorder="1" applyAlignment="1">
      <alignment horizontal="right" vertical="center"/>
    </xf>
    <xf numFmtId="0" fontId="5" fillId="4" borderId="0" xfId="0" applyFont="1" applyFill="1" applyAlignment="1">
      <alignment vertical="center"/>
    </xf>
    <xf numFmtId="42" fontId="6" fillId="4" borderId="0" xfId="0" applyNumberFormat="1" applyFont="1" applyFill="1" applyAlignment="1">
      <alignment horizontal="center" vertical="center"/>
    </xf>
    <xf numFmtId="42" fontId="6" fillId="4" borderId="1" xfId="0" applyNumberFormat="1" applyFont="1" applyFill="1" applyBorder="1" applyAlignment="1">
      <alignment horizontal="right" vertical="center"/>
    </xf>
    <xf numFmtId="0" fontId="3" fillId="0" borderId="0" xfId="0" applyFont="1"/>
    <xf numFmtId="0" fontId="10" fillId="0" borderId="0" xfId="0" applyFont="1"/>
    <xf numFmtId="0" fontId="5" fillId="0" borderId="0" xfId="0" applyFont="1"/>
    <xf numFmtId="0" fontId="5" fillId="0" borderId="0" xfId="0" applyFont="1" applyAlignment="1">
      <alignment horizontal="center"/>
    </xf>
    <xf numFmtId="0" fontId="11" fillId="0" borderId="0" xfId="0" applyFont="1"/>
    <xf numFmtId="0" fontId="11" fillId="0" borderId="0" xfId="0" applyFont="1" applyAlignment="1">
      <alignment horizontal="center"/>
    </xf>
    <xf numFmtId="0" fontId="2" fillId="0" borderId="0" xfId="0" applyFont="1"/>
    <xf numFmtId="0" fontId="0" fillId="0" borderId="1" xfId="0" applyBorder="1"/>
    <xf numFmtId="0" fontId="2" fillId="2" borderId="0" xfId="0" applyFont="1" applyFill="1" applyAlignment="1">
      <alignment horizontal="center" vertical="center"/>
    </xf>
    <xf numFmtId="0" fontId="13" fillId="2" borderId="2" xfId="0" applyFont="1" applyFill="1" applyBorder="1" applyAlignment="1">
      <alignment horizontal="center" vertical="center"/>
    </xf>
    <xf numFmtId="0" fontId="14" fillId="2" borderId="0" xfId="0" applyFont="1" applyFill="1" applyAlignment="1">
      <alignment horizontal="center" vertical="center" wrapText="1"/>
    </xf>
    <xf numFmtId="0" fontId="16" fillId="0" borderId="0" xfId="0" applyFont="1"/>
    <xf numFmtId="0" fontId="17" fillId="0" borderId="0" xfId="0" applyFont="1"/>
    <xf numFmtId="0" fontId="17" fillId="0" borderId="0" xfId="0" applyFont="1" applyAlignment="1">
      <alignment horizontal="center"/>
    </xf>
    <xf numFmtId="0" fontId="0" fillId="2" borderId="0" xfId="0" applyFill="1" applyAlignment="1">
      <alignment vertical="center"/>
    </xf>
    <xf numFmtId="14" fontId="21" fillId="2" borderId="2" xfId="0" applyNumberFormat="1" applyFont="1" applyFill="1" applyBorder="1" applyAlignment="1">
      <alignment horizontal="center" vertical="center"/>
    </xf>
    <xf numFmtId="0" fontId="19" fillId="0" borderId="0" xfId="0" applyFont="1"/>
    <xf numFmtId="0" fontId="12" fillId="0" borderId="0" xfId="0" applyFont="1"/>
    <xf numFmtId="0" fontId="20" fillId="0" borderId="0" xfId="0" applyFont="1"/>
    <xf numFmtId="42" fontId="20" fillId="0" borderId="0" xfId="0" applyNumberFormat="1" applyFont="1"/>
    <xf numFmtId="42" fontId="2" fillId="0" borderId="0" xfId="0" applyNumberFormat="1" applyFont="1"/>
    <xf numFmtId="42" fontId="2" fillId="2" borderId="0" xfId="0" applyNumberFormat="1" applyFont="1" applyFill="1"/>
    <xf numFmtId="42" fontId="20" fillId="2" borderId="0" xfId="0" applyNumberFormat="1" applyFont="1" applyFill="1"/>
    <xf numFmtId="3" fontId="17" fillId="0" borderId="0" xfId="0" applyNumberFormat="1" applyFont="1"/>
    <xf numFmtId="42" fontId="22" fillId="0" borderId="0" xfId="0" applyNumberFormat="1" applyFont="1"/>
    <xf numFmtId="42" fontId="23" fillId="0" borderId="0" xfId="0" applyNumberFormat="1" applyFont="1"/>
    <xf numFmtId="42" fontId="17" fillId="0" borderId="0" xfId="0" applyNumberFormat="1" applyFont="1"/>
    <xf numFmtId="0" fontId="24" fillId="2" borderId="0" xfId="0" applyFont="1" applyFill="1"/>
    <xf numFmtId="42" fontId="24" fillId="0" borderId="0" xfId="0" applyNumberFormat="1" applyFont="1"/>
    <xf numFmtId="0" fontId="13" fillId="4" borderId="12" xfId="0" applyFont="1" applyFill="1" applyBorder="1" applyAlignment="1">
      <alignment vertical="center"/>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0" borderId="14" xfId="0" applyFont="1" applyBorder="1" applyAlignment="1">
      <alignment vertical="center"/>
    </xf>
    <xf numFmtId="0" fontId="23" fillId="0" borderId="14" xfId="0" applyFont="1" applyBorder="1"/>
    <xf numFmtId="0" fontId="23" fillId="0" borderId="14" xfId="0" applyFont="1" applyBorder="1" applyAlignment="1">
      <alignment vertical="center"/>
    </xf>
    <xf numFmtId="164" fontId="23" fillId="0" borderId="14" xfId="0" applyNumberFormat="1" applyFont="1" applyBorder="1" applyAlignment="1">
      <alignment vertical="center"/>
    </xf>
    <xf numFmtId="0" fontId="13" fillId="4" borderId="14" xfId="0" applyFont="1" applyFill="1" applyBorder="1" applyAlignment="1">
      <alignment vertical="center"/>
    </xf>
    <xf numFmtId="164" fontId="13" fillId="4" borderId="14" xfId="0" applyNumberFormat="1" applyFont="1" applyFill="1" applyBorder="1" applyAlignment="1">
      <alignment vertical="center"/>
    </xf>
    <xf numFmtId="0" fontId="13" fillId="0" borderId="14" xfId="0" applyFont="1" applyBorder="1"/>
    <xf numFmtId="164" fontId="23" fillId="0" borderId="14" xfId="0" applyNumberFormat="1" applyFont="1" applyBorder="1"/>
    <xf numFmtId="164" fontId="13" fillId="0" borderId="14" xfId="0" applyNumberFormat="1" applyFont="1" applyBorder="1"/>
    <xf numFmtId="164" fontId="13" fillId="0" borderId="14" xfId="0" applyNumberFormat="1" applyFont="1" applyBorder="1" applyAlignment="1">
      <alignment vertical="center"/>
    </xf>
    <xf numFmtId="164" fontId="23" fillId="0" borderId="14" xfId="0" applyNumberFormat="1" applyFont="1" applyBorder="1" applyAlignment="1">
      <alignment horizontal="right" vertical="center"/>
    </xf>
    <xf numFmtId="164" fontId="23" fillId="0" borderId="15" xfId="0" applyNumberFormat="1" applyFont="1" applyBorder="1" applyAlignment="1">
      <alignment horizontal="right" vertical="center"/>
    </xf>
    <xf numFmtId="164" fontId="2" fillId="4" borderId="14" xfId="0" applyNumberFormat="1" applyFont="1" applyFill="1" applyBorder="1" applyAlignment="1">
      <alignment vertical="center"/>
    </xf>
    <xf numFmtId="0" fontId="24" fillId="0" borderId="0" xfId="0" applyFont="1"/>
    <xf numFmtId="164" fontId="24" fillId="0" borderId="0" xfId="0" applyNumberFormat="1" applyFont="1"/>
    <xf numFmtId="0" fontId="22" fillId="0" borderId="0" xfId="0" applyFont="1" applyAlignment="1">
      <alignment horizontal="left"/>
    </xf>
    <xf numFmtId="0" fontId="25" fillId="0" borderId="0" xfId="0" applyFont="1"/>
    <xf numFmtId="0" fontId="26" fillId="0" borderId="0" xfId="0" applyFont="1"/>
    <xf numFmtId="0" fontId="27" fillId="0" borderId="0" xfId="0" applyFont="1"/>
    <xf numFmtId="0" fontId="28" fillId="0" borderId="0" xfId="0" applyFont="1"/>
    <xf numFmtId="42" fontId="2" fillId="2" borderId="0" xfId="0" applyNumberFormat="1" applyFont="1" applyFill="1" applyAlignment="1">
      <alignment vertical="center"/>
    </xf>
    <xf numFmtId="0" fontId="0" fillId="4" borderId="14" xfId="0" applyFill="1" applyBorder="1"/>
    <xf numFmtId="0" fontId="2" fillId="4" borderId="14" xfId="0" applyFont="1" applyFill="1" applyBorder="1" applyAlignment="1">
      <alignment horizontal="center" vertical="center"/>
    </xf>
    <xf numFmtId="0" fontId="0" fillId="2" borderId="0" xfId="0" applyFill="1"/>
    <xf numFmtId="164" fontId="2" fillId="2" borderId="0" xfId="0" applyNumberFormat="1" applyFont="1" applyFill="1" applyAlignment="1">
      <alignment vertical="center"/>
    </xf>
    <xf numFmtId="165" fontId="2" fillId="2" borderId="0" xfId="0" applyNumberFormat="1" applyFont="1" applyFill="1" applyAlignment="1">
      <alignment vertical="center"/>
    </xf>
    <xf numFmtId="9" fontId="2" fillId="2" borderId="0" xfId="0" applyNumberFormat="1" applyFont="1" applyFill="1" applyAlignment="1">
      <alignment horizontal="center" vertical="center"/>
    </xf>
    <xf numFmtId="0" fontId="8" fillId="2" borderId="0" xfId="0" applyFont="1" applyFill="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6" fillId="4" borderId="0" xfId="0" applyFont="1" applyFill="1" applyAlignment="1">
      <alignment horizontal="left" vertical="center"/>
    </xf>
    <xf numFmtId="0" fontId="8" fillId="0" borderId="0" xfId="0" applyFont="1"/>
    <xf numFmtId="0" fontId="36" fillId="4" borderId="0" xfId="0" applyFont="1" applyFill="1" applyAlignment="1">
      <alignment vertical="center"/>
    </xf>
    <xf numFmtId="0" fontId="9" fillId="0" borderId="0" xfId="0" applyFont="1"/>
    <xf numFmtId="42" fontId="9" fillId="0" borderId="0" xfId="0" applyNumberFormat="1" applyFont="1"/>
    <xf numFmtId="42" fontId="9" fillId="0" borderId="3" xfId="0" applyNumberFormat="1" applyFont="1" applyBorder="1"/>
    <xf numFmtId="42" fontId="6" fillId="0" borderId="0" xfId="0" applyNumberFormat="1" applyFont="1" applyAlignment="1">
      <alignment horizontal="right"/>
    </xf>
    <xf numFmtId="164" fontId="9" fillId="0" borderId="0" xfId="0" applyNumberFormat="1" applyFont="1"/>
    <xf numFmtId="42" fontId="6" fillId="0" borderId="3" xfId="0" applyNumberFormat="1" applyFont="1" applyBorder="1" applyAlignment="1">
      <alignment vertical="center"/>
    </xf>
    <xf numFmtId="42" fontId="6" fillId="0" borderId="0" xfId="0" applyNumberFormat="1" applyFont="1"/>
    <xf numFmtId="42" fontId="6" fillId="0" borderId="4" xfId="0" applyNumberFormat="1" applyFont="1" applyBorder="1" applyAlignment="1">
      <alignment horizontal="center" vertical="center"/>
    </xf>
    <xf numFmtId="0" fontId="8" fillId="0" borderId="0" xfId="0" applyFont="1" applyAlignment="1">
      <alignment vertical="center"/>
    </xf>
    <xf numFmtId="0" fontId="6" fillId="0" borderId="2" xfId="0" applyFont="1" applyBorder="1" applyAlignment="1">
      <alignment horizontal="center" vertical="center" wrapText="1"/>
    </xf>
    <xf numFmtId="42" fontId="9" fillId="0" borderId="0" xfId="0" applyNumberFormat="1" applyFont="1" applyAlignment="1">
      <alignment vertical="center"/>
    </xf>
    <xf numFmtId="0" fontId="6" fillId="2" borderId="2" xfId="0" applyFont="1" applyFill="1" applyBorder="1" applyAlignment="1">
      <alignment horizontal="center" vertical="center"/>
    </xf>
    <xf numFmtId="42" fontId="9" fillId="0" borderId="3" xfId="0" applyNumberFormat="1" applyFont="1" applyBorder="1" applyAlignment="1">
      <alignment horizontal="center"/>
    </xf>
    <xf numFmtId="0" fontId="5" fillId="2" borderId="0" xfId="0" applyFont="1" applyFill="1" applyAlignment="1">
      <alignment horizontal="left" vertical="center"/>
    </xf>
    <xf numFmtId="0" fontId="5" fillId="0" borderId="0" xfId="0" applyFont="1" applyAlignment="1">
      <alignment vertical="center"/>
    </xf>
    <xf numFmtId="0" fontId="5" fillId="2" borderId="0" xfId="0" applyFont="1" applyFill="1"/>
    <xf numFmtId="42" fontId="9" fillId="0" borderId="0" xfId="0" applyNumberFormat="1" applyFont="1" applyAlignment="1">
      <alignment horizontal="right"/>
    </xf>
    <xf numFmtId="42" fontId="6" fillId="0" borderId="0" xfId="0" applyNumberFormat="1" applyFont="1" applyAlignment="1">
      <alignment vertical="center"/>
    </xf>
    <xf numFmtId="42" fontId="9" fillId="0" borderId="3" xfId="0" applyNumberFormat="1" applyFont="1" applyBorder="1" applyAlignment="1">
      <alignment horizontal="right"/>
    </xf>
    <xf numFmtId="42" fontId="6" fillId="2" borderId="0" xfId="0" applyNumberFormat="1" applyFont="1" applyFill="1"/>
    <xf numFmtId="42" fontId="38" fillId="0" borderId="0" xfId="0" applyNumberFormat="1" applyFont="1" applyAlignment="1">
      <alignment horizontal="right" vertical="center"/>
    </xf>
    <xf numFmtId="42" fontId="6" fillId="4" borderId="6" xfId="0" applyNumberFormat="1" applyFont="1" applyFill="1" applyBorder="1" applyAlignment="1">
      <alignment vertical="center"/>
    </xf>
    <xf numFmtId="42" fontId="9" fillId="0" borderId="0" xfId="0" applyNumberFormat="1" applyFont="1" applyAlignment="1">
      <alignment horizontal="right" vertical="center"/>
    </xf>
    <xf numFmtId="42" fontId="9" fillId="0" borderId="0" xfId="0" applyNumberFormat="1" applyFont="1" applyAlignment="1">
      <alignment horizontal="center" vertical="top"/>
    </xf>
    <xf numFmtId="42" fontId="9" fillId="0" borderId="0" xfId="0" applyNumberFormat="1" applyFont="1" applyAlignment="1">
      <alignment horizontal="right" vertical="top"/>
    </xf>
    <xf numFmtId="42" fontId="38" fillId="0" borderId="0" xfId="0" applyNumberFormat="1" applyFont="1" applyAlignment="1">
      <alignment horizontal="center" vertical="center"/>
    </xf>
    <xf numFmtId="42" fontId="9" fillId="0" borderId="0" xfId="0" applyNumberFormat="1" applyFont="1" applyAlignment="1">
      <alignment vertical="top"/>
    </xf>
    <xf numFmtId="42" fontId="9" fillId="0" borderId="3" xfId="0" applyNumberFormat="1" applyFont="1" applyBorder="1" applyAlignment="1">
      <alignment horizontal="center" vertical="top"/>
    </xf>
    <xf numFmtId="42" fontId="38" fillId="0" borderId="3" xfId="0" applyNumberFormat="1" applyFont="1" applyBorder="1" applyAlignment="1">
      <alignment horizontal="center" vertical="center"/>
    </xf>
    <xf numFmtId="42" fontId="9" fillId="4" borderId="1" xfId="0" applyNumberFormat="1" applyFont="1" applyFill="1" applyBorder="1" applyAlignment="1">
      <alignment vertical="center"/>
    </xf>
    <xf numFmtId="42" fontId="6" fillId="4" borderId="1" xfId="0" applyNumberFormat="1" applyFont="1" applyFill="1" applyBorder="1" applyAlignment="1">
      <alignment vertical="center"/>
    </xf>
    <xf numFmtId="42" fontId="9" fillId="2" borderId="0" xfId="0" applyNumberFormat="1" applyFont="1" applyFill="1" applyAlignment="1">
      <alignment vertical="center"/>
    </xf>
    <xf numFmtId="42" fontId="6" fillId="2" borderId="0" xfId="0" applyNumberFormat="1" applyFont="1" applyFill="1" applyAlignment="1">
      <alignment vertical="center"/>
    </xf>
    <xf numFmtId="42" fontId="6" fillId="0" borderId="0" xfId="0" applyNumberFormat="1" applyFont="1" applyAlignment="1">
      <alignment horizontal="center" vertical="center"/>
    </xf>
    <xf numFmtId="42" fontId="39" fillId="0" borderId="0" xfId="0" applyNumberFormat="1" applyFont="1" applyAlignment="1">
      <alignment horizontal="center" vertical="center"/>
    </xf>
    <xf numFmtId="42" fontId="6" fillId="0" borderId="0" xfId="0" applyNumberFormat="1" applyFont="1" applyAlignment="1">
      <alignment horizontal="right" vertical="center"/>
    </xf>
    <xf numFmtId="42" fontId="6" fillId="0" borderId="0" xfId="0" applyNumberFormat="1" applyFont="1" applyAlignment="1">
      <alignment horizontal="center" vertical="top"/>
    </xf>
    <xf numFmtId="42" fontId="6" fillId="0" borderId="0" xfId="0" applyNumberFormat="1" applyFont="1" applyAlignment="1">
      <alignment horizontal="right" vertical="top"/>
    </xf>
    <xf numFmtId="0" fontId="6" fillId="2" borderId="2" xfId="0" applyFont="1" applyFill="1" applyBorder="1" applyAlignment="1">
      <alignment horizontal="center" vertical="center" wrapText="1"/>
    </xf>
    <xf numFmtId="0" fontId="6" fillId="0" borderId="0" xfId="0" applyFont="1" applyAlignment="1">
      <alignment horizontal="left" vertical="center"/>
    </xf>
    <xf numFmtId="42" fontId="9"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xf>
    <xf numFmtId="0" fontId="9" fillId="0" borderId="0" xfId="0" applyFont="1" applyAlignment="1">
      <alignment vertical="center"/>
    </xf>
    <xf numFmtId="0" fontId="6" fillId="4" borderId="1" xfId="0" applyFont="1" applyFill="1" applyBorder="1" applyAlignment="1">
      <alignment vertical="center"/>
    </xf>
    <xf numFmtId="0" fontId="6" fillId="2" borderId="7" xfId="0" applyFont="1" applyFill="1" applyBorder="1" applyAlignment="1">
      <alignment horizontal="left" vertical="center"/>
    </xf>
    <xf numFmtId="42" fontId="9" fillId="0" borderId="1" xfId="0" applyNumberFormat="1" applyFont="1" applyBorder="1" applyAlignment="1">
      <alignment vertical="center"/>
    </xf>
    <xf numFmtId="42" fontId="6" fillId="4" borderId="2" xfId="0" applyNumberFormat="1" applyFont="1" applyFill="1" applyBorder="1" applyAlignment="1">
      <alignment vertical="center"/>
    </xf>
    <xf numFmtId="14" fontId="21" fillId="2" borderId="0" xfId="0" applyNumberFormat="1" applyFont="1" applyFill="1" applyAlignment="1">
      <alignment horizontal="center" vertical="center" wrapText="1"/>
    </xf>
    <xf numFmtId="0" fontId="15" fillId="2" borderId="2" xfId="0" applyFont="1" applyFill="1" applyBorder="1" applyAlignment="1">
      <alignment horizontal="center" vertical="center" wrapText="1"/>
    </xf>
    <xf numFmtId="0" fontId="26" fillId="0" borderId="19" xfId="0" applyFont="1" applyBorder="1"/>
    <xf numFmtId="0" fontId="26" fillId="0" borderId="12" xfId="0" applyFont="1" applyBorder="1"/>
    <xf numFmtId="0" fontId="20" fillId="4" borderId="17"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0" fillId="0" borderId="14" xfId="0" applyBorder="1"/>
    <xf numFmtId="0" fontId="0" fillId="0" borderId="14" xfId="0" applyBorder="1" applyAlignment="1">
      <alignment horizontal="center" vertical="center"/>
    </xf>
    <xf numFmtId="0" fontId="20" fillId="0" borderId="14" xfId="0" applyFont="1" applyBorder="1" applyAlignment="1">
      <alignment horizontal="center" vertical="center"/>
    </xf>
    <xf numFmtId="164" fontId="0" fillId="0" borderId="14" xfId="0" applyNumberFormat="1" applyBorder="1"/>
    <xf numFmtId="0" fontId="22" fillId="0" borderId="14" xfId="0" applyFont="1" applyBorder="1"/>
    <xf numFmtId="0" fontId="0" fillId="4" borderId="14" xfId="0" applyFill="1" applyBorder="1" applyAlignment="1">
      <alignment horizontal="center" vertical="center"/>
    </xf>
    <xf numFmtId="164" fontId="0" fillId="4" borderId="14" xfId="0" applyNumberFormat="1" applyFill="1" applyBorder="1"/>
    <xf numFmtId="42" fontId="0" fillId="0" borderId="0" xfId="0" applyNumberFormat="1"/>
    <xf numFmtId="0" fontId="11" fillId="0" borderId="0" xfId="0" applyFont="1" applyAlignment="1">
      <alignment vertical="center"/>
    </xf>
    <xf numFmtId="0" fontId="6" fillId="2" borderId="5" xfId="0" applyFont="1" applyFill="1" applyBorder="1" applyAlignment="1">
      <alignment horizontal="center" vertical="center"/>
    </xf>
    <xf numFmtId="0" fontId="6" fillId="2" borderId="14" xfId="0" applyFont="1" applyFill="1" applyBorder="1" applyAlignment="1">
      <alignment horizontal="left" vertical="center"/>
    </xf>
    <xf numFmtId="0" fontId="6" fillId="4" borderId="0" xfId="0" applyFont="1" applyFill="1" applyAlignment="1">
      <alignment vertical="center"/>
    </xf>
    <xf numFmtId="0" fontId="6" fillId="4" borderId="14" xfId="0" applyFont="1" applyFill="1" applyBorder="1" applyAlignment="1">
      <alignment vertical="center"/>
    </xf>
    <xf numFmtId="42" fontId="9" fillId="0" borderId="0" xfId="0" applyNumberFormat="1" applyFont="1" applyAlignment="1">
      <alignment horizontal="center"/>
    </xf>
    <xf numFmtId="0" fontId="4" fillId="2" borderId="5" xfId="0" applyFont="1" applyFill="1" applyBorder="1" applyAlignment="1">
      <alignment vertical="center"/>
    </xf>
    <xf numFmtId="0" fontId="4" fillId="2" borderId="0" xfId="0" applyFont="1" applyFill="1" applyAlignment="1">
      <alignment vertical="center"/>
    </xf>
    <xf numFmtId="165" fontId="0" fillId="0" borderId="0" xfId="0" applyNumberFormat="1"/>
    <xf numFmtId="44" fontId="0" fillId="0" borderId="0" xfId="2" applyFont="1"/>
    <xf numFmtId="165" fontId="0" fillId="0" borderId="0" xfId="2" applyNumberFormat="1" applyFont="1"/>
    <xf numFmtId="42" fontId="0" fillId="0" borderId="14" xfId="0" applyNumberFormat="1" applyBorder="1" applyAlignment="1">
      <alignment vertical="center"/>
    </xf>
    <xf numFmtId="0" fontId="0" fillId="0" borderId="23" xfId="0" applyBorder="1" applyAlignment="1">
      <alignment horizontal="center" vertical="center" wrapText="1"/>
    </xf>
    <xf numFmtId="42" fontId="0" fillId="0" borderId="12" xfId="0" applyNumberFormat="1" applyBorder="1" applyAlignment="1">
      <alignment vertical="center"/>
    </xf>
    <xf numFmtId="0" fontId="0" fillId="0" borderId="3" xfId="0" applyBorder="1" applyAlignment="1">
      <alignment horizontal="center" vertical="center"/>
    </xf>
    <xf numFmtId="42" fontId="0" fillId="0" borderId="19" xfId="0" applyNumberFormat="1" applyBorder="1" applyAlignment="1">
      <alignment vertical="center"/>
    </xf>
    <xf numFmtId="0" fontId="0" fillId="0" borderId="19" xfId="0" applyBorder="1" applyAlignment="1">
      <alignment vertical="center"/>
    </xf>
    <xf numFmtId="42" fontId="0" fillId="0" borderId="14" xfId="0" applyNumberFormat="1" applyBorder="1" applyAlignment="1">
      <alignment horizontal="right" vertical="center"/>
    </xf>
    <xf numFmtId="42" fontId="0" fillId="0" borderId="21" xfId="0" applyNumberFormat="1" applyBorder="1" applyAlignment="1">
      <alignment vertical="center"/>
    </xf>
    <xf numFmtId="42" fontId="0" fillId="0" borderId="19" xfId="0" applyNumberFormat="1" applyBorder="1" applyAlignment="1">
      <alignment horizontal="right" vertical="center"/>
    </xf>
    <xf numFmtId="42" fontId="0" fillId="0" borderId="19" xfId="0" applyNumberFormat="1" applyBorder="1" applyAlignment="1">
      <alignment horizontal="center" vertical="center"/>
    </xf>
    <xf numFmtId="42" fontId="0" fillId="0" borderId="14" xfId="0" applyNumberFormat="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wrapText="1"/>
    </xf>
    <xf numFmtId="42" fontId="0" fillId="0" borderId="21" xfId="0" applyNumberFormat="1" applyBorder="1" applyAlignment="1">
      <alignment horizontal="right" vertical="center"/>
    </xf>
    <xf numFmtId="42" fontId="0" fillId="0" borderId="21" xfId="0" applyNumberFormat="1" applyBorder="1" applyAlignment="1">
      <alignment horizontal="center" vertical="center"/>
    </xf>
    <xf numFmtId="0" fontId="0" fillId="0" borderId="21" xfId="0" applyBorder="1" applyAlignment="1">
      <alignment horizontal="center" vertical="center" wrapText="1"/>
    </xf>
    <xf numFmtId="42" fontId="0" fillId="4" borderId="18" xfId="0" applyNumberFormat="1" applyFill="1" applyBorder="1" applyAlignment="1">
      <alignment vertical="center"/>
    </xf>
    <xf numFmtId="42" fontId="0" fillId="4" borderId="18" xfId="0" applyNumberFormat="1" applyFill="1" applyBorder="1" applyAlignment="1">
      <alignment horizontal="center" vertical="center"/>
    </xf>
    <xf numFmtId="42" fontId="0" fillId="4" borderId="6" xfId="0" applyNumberFormat="1" applyFill="1" applyBorder="1" applyAlignment="1">
      <alignment horizontal="center" vertical="center"/>
    </xf>
    <xf numFmtId="42" fontId="0" fillId="2" borderId="19" xfId="0" applyNumberFormat="1" applyFill="1" applyBorder="1" applyAlignment="1">
      <alignment vertical="center"/>
    </xf>
    <xf numFmtId="42" fontId="0" fillId="2" borderId="19" xfId="0" applyNumberFormat="1" applyFill="1" applyBorder="1" applyAlignment="1">
      <alignment horizontal="center" vertical="center"/>
    </xf>
    <xf numFmtId="42" fontId="0" fillId="0" borderId="19" xfId="0" applyNumberFormat="1" applyBorder="1"/>
    <xf numFmtId="42" fontId="0" fillId="0" borderId="19" xfId="0" applyNumberFormat="1" applyBorder="1" applyAlignment="1">
      <alignment horizontal="center"/>
    </xf>
    <xf numFmtId="42" fontId="0" fillId="0" borderId="21" xfId="0" applyNumberFormat="1" applyBorder="1"/>
    <xf numFmtId="42" fontId="0" fillId="0" borderId="23" xfId="0" applyNumberFormat="1" applyBorder="1" applyAlignment="1">
      <alignment horizontal="center" wrapText="1"/>
    </xf>
    <xf numFmtId="0" fontId="0" fillId="0" borderId="19" xfId="0" applyBorder="1" applyAlignment="1">
      <alignment horizontal="center" vertical="center" wrapText="1"/>
    </xf>
    <xf numFmtId="42" fontId="0" fillId="0" borderId="0" xfId="0" applyNumberFormat="1" applyAlignment="1">
      <alignment horizontal="center" wrapText="1"/>
    </xf>
    <xf numFmtId="42" fontId="0" fillId="2" borderId="19" xfId="0" applyNumberFormat="1" applyFill="1" applyBorder="1"/>
    <xf numFmtId="42" fontId="0" fillId="0" borderId="0" xfId="0" applyNumberFormat="1" applyAlignment="1">
      <alignment horizontal="center"/>
    </xf>
    <xf numFmtId="42" fontId="0" fillId="0" borderId="22" xfId="0" applyNumberFormat="1" applyBorder="1"/>
    <xf numFmtId="0" fontId="0" fillId="0" borderId="22" xfId="0" applyBorder="1" applyAlignment="1">
      <alignment horizontal="center" vertical="center" wrapText="1"/>
    </xf>
    <xf numFmtId="42" fontId="0" fillId="0" borderId="21" xfId="0" applyNumberFormat="1" applyBorder="1" applyAlignment="1">
      <alignment horizontal="center" wrapText="1"/>
    </xf>
    <xf numFmtId="42" fontId="0" fillId="2" borderId="8" xfId="0" applyNumberFormat="1" applyFill="1" applyBorder="1" applyAlignment="1">
      <alignment vertical="center"/>
    </xf>
    <xf numFmtId="42" fontId="0" fillId="0" borderId="8" xfId="0" applyNumberFormat="1" applyBorder="1"/>
    <xf numFmtId="0" fontId="0" fillId="0" borderId="8" xfId="0" applyBorder="1" applyAlignment="1">
      <alignment horizontal="center" vertical="center" wrapText="1"/>
    </xf>
    <xf numFmtId="42" fontId="0" fillId="0" borderId="19" xfId="0" applyNumberFormat="1" applyBorder="1" applyAlignment="1">
      <alignment horizontal="center" wrapText="1"/>
    </xf>
    <xf numFmtId="42" fontId="0" fillId="2" borderId="8" xfId="0" applyNumberFormat="1" applyFill="1" applyBorder="1"/>
    <xf numFmtId="42" fontId="0" fillId="0" borderId="8" xfId="0" applyNumberFormat="1" applyBorder="1" applyAlignment="1">
      <alignment horizontal="center"/>
    </xf>
    <xf numFmtId="42" fontId="0" fillId="2" borderId="16" xfId="0" applyNumberFormat="1" applyFill="1" applyBorder="1"/>
    <xf numFmtId="42" fontId="0" fillId="0" borderId="16" xfId="0" applyNumberFormat="1" applyBorder="1"/>
    <xf numFmtId="42" fontId="0" fillId="0" borderId="16" xfId="0" applyNumberFormat="1" applyBorder="1" applyAlignment="1">
      <alignment horizontal="center"/>
    </xf>
    <xf numFmtId="42" fontId="0" fillId="0" borderId="14" xfId="0" applyNumberFormat="1" applyBorder="1" applyAlignment="1">
      <alignment horizontal="center"/>
    </xf>
    <xf numFmtId="42" fontId="0" fillId="2" borderId="14" xfId="0" applyNumberFormat="1" applyFill="1" applyBorder="1"/>
    <xf numFmtId="42" fontId="0" fillId="0" borderId="14" xfId="0" applyNumberFormat="1" applyBorder="1"/>
    <xf numFmtId="42" fontId="0" fillId="0" borderId="4" xfId="0" applyNumberFormat="1" applyBorder="1" applyAlignment="1">
      <alignment horizontal="center"/>
    </xf>
    <xf numFmtId="42" fontId="0" fillId="0" borderId="23" xfId="0" applyNumberFormat="1" applyBorder="1" applyAlignment="1">
      <alignment horizontal="center"/>
    </xf>
    <xf numFmtId="42" fontId="0" fillId="2" borderId="12" xfId="0" applyNumberFormat="1" applyFill="1" applyBorder="1"/>
    <xf numFmtId="42" fontId="0" fillId="0" borderId="12" xfId="0" applyNumberFormat="1" applyBorder="1"/>
    <xf numFmtId="42" fontId="0" fillId="0" borderId="12" xfId="0" applyNumberFormat="1" applyBorder="1" applyAlignment="1">
      <alignment horizontal="center"/>
    </xf>
    <xf numFmtId="42" fontId="0" fillId="0" borderId="3" xfId="0" applyNumberFormat="1" applyBorder="1" applyAlignment="1">
      <alignment horizontal="center"/>
    </xf>
    <xf numFmtId="42" fontId="0" fillId="0" borderId="12" xfId="0" applyNumberFormat="1" applyBorder="1" applyAlignment="1">
      <alignment horizontal="center" wrapText="1"/>
    </xf>
    <xf numFmtId="42" fontId="0" fillId="2" borderId="14" xfId="0" applyNumberFormat="1" applyFill="1" applyBorder="1" applyAlignment="1">
      <alignment vertical="center"/>
    </xf>
    <xf numFmtId="42" fontId="0" fillId="2" borderId="16" xfId="0" applyNumberFormat="1" applyFill="1" applyBorder="1" applyAlignment="1">
      <alignment vertical="center"/>
    </xf>
    <xf numFmtId="42" fontId="0" fillId="2" borderId="14" xfId="0" applyNumberFormat="1" applyFill="1" applyBorder="1" applyAlignment="1">
      <alignment horizontal="center" vertical="center"/>
    </xf>
    <xf numFmtId="42" fontId="0" fillId="2" borderId="4" xfId="0" applyNumberFormat="1" applyFill="1" applyBorder="1" applyAlignment="1">
      <alignment horizontal="center" vertical="center"/>
    </xf>
    <xf numFmtId="0" fontId="0" fillId="0" borderId="0" xfId="0" applyAlignment="1">
      <alignment horizontal="center" wrapText="1"/>
    </xf>
    <xf numFmtId="0" fontId="0" fillId="0" borderId="9" xfId="0" applyBorder="1" applyAlignment="1">
      <alignment horizontal="center" wrapText="1"/>
    </xf>
    <xf numFmtId="165" fontId="0" fillId="2" borderId="14" xfId="0" applyNumberFormat="1" applyFill="1" applyBorder="1" applyAlignment="1">
      <alignment horizontal="right" vertical="center"/>
    </xf>
    <xf numFmtId="164" fontId="0" fillId="2" borderId="14" xfId="0" applyNumberFormat="1" applyFill="1" applyBorder="1" applyAlignment="1">
      <alignment horizontal="right" vertical="center"/>
    </xf>
    <xf numFmtId="42" fontId="0" fillId="4" borderId="20" xfId="0" applyNumberFormat="1" applyFill="1" applyBorder="1" applyAlignment="1">
      <alignment vertical="center"/>
    </xf>
    <xf numFmtId="42" fontId="0" fillId="4" borderId="20" xfId="0" applyNumberFormat="1" applyFill="1" applyBorder="1" applyAlignment="1">
      <alignment horizontal="center" vertical="center"/>
    </xf>
    <xf numFmtId="42" fontId="0" fillId="4" borderId="1" xfId="0" applyNumberFormat="1" applyFill="1" applyBorder="1" applyAlignment="1">
      <alignment horizontal="center" vertical="center"/>
    </xf>
    <xf numFmtId="0" fontId="2" fillId="0" borderId="14" xfId="0" applyFont="1" applyBorder="1" applyAlignment="1">
      <alignment vertical="center"/>
    </xf>
    <xf numFmtId="42" fontId="2" fillId="0" borderId="14" xfId="0" applyNumberFormat="1" applyFont="1" applyBorder="1" applyAlignment="1">
      <alignment vertical="center"/>
    </xf>
    <xf numFmtId="42" fontId="2" fillId="0" borderId="14" xfId="0" applyNumberFormat="1" applyFont="1" applyBorder="1" applyAlignment="1">
      <alignment horizontal="right" vertical="center"/>
    </xf>
    <xf numFmtId="42" fontId="2" fillId="0" borderId="21" xfId="0" applyNumberFormat="1" applyFont="1" applyBorder="1" applyAlignment="1">
      <alignment vertical="center"/>
    </xf>
    <xf numFmtId="42" fontId="2" fillId="0" borderId="21" xfId="0" applyNumberFormat="1" applyFont="1" applyBorder="1" applyAlignment="1">
      <alignment horizontal="right" vertical="center"/>
    </xf>
    <xf numFmtId="42" fontId="2" fillId="0" borderId="19" xfId="0" applyNumberFormat="1" applyFont="1" applyBorder="1" applyAlignment="1">
      <alignment vertical="center"/>
    </xf>
    <xf numFmtId="42" fontId="2" fillId="4" borderId="18" xfId="0" applyNumberFormat="1" applyFont="1" applyFill="1" applyBorder="1" applyAlignment="1">
      <alignment vertical="center"/>
    </xf>
    <xf numFmtId="42" fontId="2" fillId="2" borderId="14" xfId="0" applyNumberFormat="1" applyFont="1" applyFill="1" applyBorder="1" applyAlignment="1">
      <alignment vertical="center"/>
    </xf>
    <xf numFmtId="42" fontId="2" fillId="2" borderId="14" xfId="0" applyNumberFormat="1" applyFont="1" applyFill="1" applyBorder="1"/>
    <xf numFmtId="42" fontId="2" fillId="4" borderId="20" xfId="0" applyNumberFormat="1" applyFont="1" applyFill="1" applyBorder="1" applyAlignment="1">
      <alignment vertical="center"/>
    </xf>
    <xf numFmtId="0" fontId="20" fillId="4" borderId="29" xfId="0" applyFont="1" applyFill="1" applyBorder="1" applyAlignment="1">
      <alignment horizontal="center" vertical="center"/>
    </xf>
    <xf numFmtId="0" fontId="20" fillId="4" borderId="31" xfId="0" applyFont="1" applyFill="1" applyBorder="1" applyAlignment="1">
      <alignment horizontal="center" vertical="center"/>
    </xf>
    <xf numFmtId="0" fontId="2" fillId="0" borderId="27" xfId="0" applyFont="1" applyBorder="1" applyAlignment="1">
      <alignment horizontal="center" vertical="center" wrapText="1"/>
    </xf>
    <xf numFmtId="0" fontId="26" fillId="0" borderId="32" xfId="0" applyFont="1" applyBorder="1"/>
    <xf numFmtId="0" fontId="2" fillId="0" borderId="33" xfId="0" applyFont="1" applyBorder="1" applyAlignment="1">
      <alignment vertical="center" wrapText="1"/>
    </xf>
    <xf numFmtId="0" fontId="0" fillId="0" borderId="34" xfId="0" applyBorder="1" applyAlignment="1">
      <alignment horizontal="center" vertical="center"/>
    </xf>
    <xf numFmtId="0" fontId="0" fillId="0" borderId="35" xfId="0" applyBorder="1" applyAlignment="1">
      <alignment vertical="center" wrapText="1"/>
    </xf>
    <xf numFmtId="0" fontId="0" fillId="0" borderId="36" xfId="0" applyBorder="1" applyAlignment="1">
      <alignment horizontal="center" vertical="center"/>
    </xf>
    <xf numFmtId="0" fontId="0" fillId="0" borderId="27" xfId="0"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33" xfId="0" applyBorder="1" applyAlignment="1">
      <alignment vertical="center" wrapText="1"/>
    </xf>
    <xf numFmtId="42" fontId="0" fillId="0" borderId="0" xfId="0" applyNumberFormat="1" applyAlignment="1">
      <alignment horizontal="center" vertical="center"/>
    </xf>
    <xf numFmtId="0" fontId="0" fillId="0" borderId="33" xfId="0" applyBorder="1" applyAlignment="1">
      <alignment horizontal="left" vertical="center" wrapText="1"/>
    </xf>
    <xf numFmtId="0" fontId="0" fillId="0" borderId="27" xfId="0" applyBorder="1" applyAlignment="1">
      <alignment vertical="center" wrapText="1"/>
    </xf>
    <xf numFmtId="0" fontId="2" fillId="0" borderId="37" xfId="0" applyFont="1" applyBorder="1" applyAlignment="1">
      <alignment vertical="center" wrapText="1"/>
    </xf>
    <xf numFmtId="0" fontId="0" fillId="0" borderId="34" xfId="0"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2" xfId="0" applyBorder="1" applyAlignment="1">
      <alignment horizontal="center" vertical="center"/>
    </xf>
    <xf numFmtId="0" fontId="2" fillId="0" borderId="38" xfId="0" applyFont="1" applyBorder="1" applyAlignment="1">
      <alignment vertical="center" wrapText="1"/>
    </xf>
    <xf numFmtId="0" fontId="0" fillId="4" borderId="39" xfId="0" applyFill="1" applyBorder="1" applyAlignment="1">
      <alignment horizontal="center" vertical="center" wrapText="1"/>
    </xf>
    <xf numFmtId="0" fontId="0" fillId="4" borderId="40" xfId="0" applyFill="1" applyBorder="1"/>
    <xf numFmtId="0" fontId="0" fillId="2" borderId="27" xfId="0" applyFill="1" applyBorder="1" applyAlignment="1">
      <alignment horizontal="center" vertical="center" wrapText="1"/>
    </xf>
    <xf numFmtId="42" fontId="0" fillId="2" borderId="0" xfId="0" applyNumberFormat="1" applyFill="1" applyAlignment="1">
      <alignment horizontal="center" vertical="center"/>
    </xf>
    <xf numFmtId="0" fontId="0" fillId="0" borderId="31" xfId="0" applyBorder="1"/>
    <xf numFmtId="0" fontId="2" fillId="2" borderId="27" xfId="0" applyFont="1" applyFill="1" applyBorder="1" applyAlignment="1">
      <alignment horizontal="center" vertical="center" wrapText="1"/>
    </xf>
    <xf numFmtId="0" fontId="0" fillId="2" borderId="27" xfId="0" applyFill="1" applyBorder="1" applyAlignment="1">
      <alignment wrapText="1"/>
    </xf>
    <xf numFmtId="0" fontId="0" fillId="0" borderId="37" xfId="0" applyBorder="1" applyAlignment="1">
      <alignment wrapText="1"/>
    </xf>
    <xf numFmtId="0" fontId="0" fillId="0" borderId="41" xfId="0" applyBorder="1"/>
    <xf numFmtId="0" fontId="0" fillId="0" borderId="34" xfId="0" applyBorder="1"/>
    <xf numFmtId="0" fontId="0" fillId="0" borderId="35" xfId="0" applyBorder="1" applyAlignment="1">
      <alignment wrapText="1"/>
    </xf>
    <xf numFmtId="0" fontId="0" fillId="0" borderId="36" xfId="0" applyBorder="1"/>
    <xf numFmtId="42" fontId="0" fillId="0" borderId="41" xfId="0" applyNumberFormat="1" applyBorder="1" applyAlignment="1">
      <alignment horizontal="center" wrapText="1"/>
    </xf>
    <xf numFmtId="0" fontId="0" fillId="2" borderId="37" xfId="0" applyFill="1" applyBorder="1" applyAlignment="1">
      <alignment horizontal="center" vertical="center" wrapText="1"/>
    </xf>
    <xf numFmtId="42" fontId="0" fillId="0" borderId="31" xfId="0" applyNumberFormat="1" applyBorder="1" applyAlignment="1">
      <alignment horizontal="center" vertical="center" wrapText="1"/>
    </xf>
    <xf numFmtId="0" fontId="0" fillId="2" borderId="33" xfId="0" applyFill="1" applyBorder="1" applyAlignment="1">
      <alignment horizontal="left" vertical="center" wrapText="1"/>
    </xf>
    <xf numFmtId="0" fontId="2" fillId="4" borderId="29" xfId="0" applyFont="1" applyFill="1" applyBorder="1" applyAlignment="1">
      <alignment horizontal="center" vertical="center" wrapText="1"/>
    </xf>
    <xf numFmtId="0" fontId="41" fillId="2" borderId="27" xfId="0" applyFont="1" applyFill="1" applyBorder="1" applyAlignment="1">
      <alignment horizontal="center" vertical="center" wrapText="1"/>
    </xf>
    <xf numFmtId="42" fontId="42" fillId="2" borderId="0" xfId="0" applyNumberFormat="1" applyFont="1" applyFill="1" applyAlignment="1">
      <alignment vertical="center"/>
    </xf>
    <xf numFmtId="42" fontId="41" fillId="2" borderId="0" xfId="0" applyNumberFormat="1" applyFont="1" applyFill="1" applyAlignment="1">
      <alignment vertical="center"/>
    </xf>
    <xf numFmtId="42" fontId="41" fillId="2" borderId="0" xfId="0" applyNumberFormat="1" applyFont="1" applyFill="1" applyAlignment="1">
      <alignment horizontal="center" vertical="center"/>
    </xf>
    <xf numFmtId="42" fontId="25" fillId="0" borderId="28" xfId="0" applyNumberFormat="1" applyFont="1" applyBorder="1" applyAlignment="1">
      <alignment vertical="center" wrapText="1"/>
    </xf>
    <xf numFmtId="0" fontId="0" fillId="0" borderId="27" xfId="0" applyBorder="1"/>
    <xf numFmtId="0" fontId="27" fillId="0" borderId="43" xfId="0" applyFont="1" applyBorder="1"/>
    <xf numFmtId="0" fontId="0" fillId="0" borderId="44" xfId="0" applyBorder="1"/>
    <xf numFmtId="42" fontId="25" fillId="0" borderId="45" xfId="0" applyNumberFormat="1" applyFont="1" applyBorder="1" applyAlignment="1">
      <alignment vertical="center" wrapText="1"/>
    </xf>
    <xf numFmtId="0" fontId="25" fillId="4" borderId="12"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horizontal="center" vertical="center"/>
    </xf>
    <xf numFmtId="14" fontId="0" fillId="2" borderId="14" xfId="0" applyNumberFormat="1" applyFill="1" applyBorder="1" applyAlignment="1">
      <alignment horizontal="center" vertical="center" wrapText="1"/>
    </xf>
    <xf numFmtId="1" fontId="0" fillId="2" borderId="14" xfId="0" applyNumberFormat="1" applyFill="1" applyBorder="1" applyAlignment="1">
      <alignment horizontal="center" vertical="center" wrapText="1"/>
    </xf>
    <xf numFmtId="164" fontId="0" fillId="2" borderId="14" xfId="0" applyNumberFormat="1" applyFill="1" applyBorder="1" applyAlignment="1">
      <alignment horizontal="center" vertical="center"/>
    </xf>
    <xf numFmtId="164" fontId="0" fillId="2" borderId="14" xfId="0" applyNumberFormat="1" applyFill="1" applyBorder="1" applyAlignment="1">
      <alignment horizontal="center" vertical="center" wrapText="1"/>
    </xf>
    <xf numFmtId="3" fontId="0" fillId="0" borderId="14" xfId="0" applyNumberFormat="1" applyBorder="1" applyAlignment="1">
      <alignment horizontal="center" vertical="center" wrapText="1"/>
    </xf>
    <xf numFmtId="0" fontId="0" fillId="0" borderId="14" xfId="0" applyBorder="1" applyAlignment="1">
      <alignment horizontal="center" vertical="justify"/>
    </xf>
    <xf numFmtId="0" fontId="0" fillId="0" borderId="14" xfId="3" applyFont="1" applyBorder="1" applyAlignment="1">
      <alignment horizontal="center" vertical="center"/>
    </xf>
    <xf numFmtId="3" fontId="0" fillId="0" borderId="14" xfId="0" applyNumberFormat="1" applyBorder="1" applyAlignment="1">
      <alignment horizontal="center" vertical="center"/>
    </xf>
    <xf numFmtId="0" fontId="0" fillId="0" borderId="14" xfId="3" applyFont="1" applyBorder="1" applyAlignment="1">
      <alignment horizontal="center" vertical="center" wrapText="1"/>
    </xf>
    <xf numFmtId="0" fontId="0" fillId="3" borderId="14" xfId="0" applyFill="1" applyBorder="1" applyAlignment="1">
      <alignment horizontal="center" vertical="center" wrapText="1"/>
    </xf>
    <xf numFmtId="0" fontId="25" fillId="4" borderId="33" xfId="0" applyFont="1" applyFill="1" applyBorder="1" applyAlignment="1">
      <alignment horizontal="center" vertical="center" wrapText="1"/>
    </xf>
    <xf numFmtId="0" fontId="2" fillId="4" borderId="36" xfId="0" applyFont="1" applyFill="1" applyBorder="1" applyAlignment="1">
      <alignment horizontal="center" vertical="center" wrapText="1"/>
    </xf>
    <xf numFmtId="10" fontId="0" fillId="2" borderId="36" xfId="1" applyNumberFormat="1" applyFont="1" applyFill="1" applyBorder="1" applyAlignment="1">
      <alignment horizontal="center" vertical="center" wrapText="1"/>
    </xf>
    <xf numFmtId="0" fontId="0" fillId="4" borderId="48" xfId="0" applyFill="1" applyBorder="1"/>
    <xf numFmtId="0" fontId="0" fillId="4" borderId="49" xfId="0" applyFill="1" applyBorder="1"/>
    <xf numFmtId="0" fontId="2" fillId="4" borderId="49" xfId="0" applyFont="1" applyFill="1" applyBorder="1" applyAlignment="1">
      <alignment horizontal="center" vertical="center"/>
    </xf>
    <xf numFmtId="164" fontId="2" fillId="4" borderId="49" xfId="0" applyNumberFormat="1" applyFont="1" applyFill="1" applyBorder="1" applyAlignment="1">
      <alignment vertical="center"/>
    </xf>
    <xf numFmtId="44" fontId="2" fillId="4" borderId="49" xfId="0" applyNumberFormat="1" applyFont="1" applyFill="1" applyBorder="1" applyAlignment="1">
      <alignment vertical="center"/>
    </xf>
    <xf numFmtId="165" fontId="2" fillId="4" borderId="49" xfId="0" applyNumberFormat="1" applyFont="1" applyFill="1" applyBorder="1" applyAlignment="1">
      <alignment horizontal="right" vertical="center"/>
    </xf>
    <xf numFmtId="9" fontId="2" fillId="4" borderId="50" xfId="0" applyNumberFormat="1" applyFont="1" applyFill="1" applyBorder="1" applyAlignment="1">
      <alignment horizontal="center" vertical="center"/>
    </xf>
    <xf numFmtId="0" fontId="7" fillId="3" borderId="0" xfId="0" applyFont="1" applyFill="1" applyAlignment="1">
      <alignment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5" fillId="4" borderId="0" xfId="0" applyFont="1" applyFill="1" applyAlignment="1">
      <alignment vertical="center"/>
    </xf>
    <xf numFmtId="0" fontId="8" fillId="3" borderId="0" xfId="0" applyFont="1" applyFill="1" applyAlignment="1">
      <alignment vertical="center"/>
    </xf>
    <xf numFmtId="0" fontId="5" fillId="3" borderId="0" xfId="0" applyFont="1" applyFill="1" applyAlignment="1">
      <alignment vertical="center"/>
    </xf>
    <xf numFmtId="0" fontId="5" fillId="0" borderId="0" xfId="0" applyFont="1" applyAlignment="1">
      <alignment horizontal="center"/>
    </xf>
    <xf numFmtId="0" fontId="11" fillId="0" borderId="0" xfId="0" applyFont="1" applyAlignment="1">
      <alignment horizontal="center"/>
    </xf>
    <xf numFmtId="0" fontId="5" fillId="0" borderId="0" xfId="0" applyFont="1" applyAlignment="1">
      <alignment horizontal="left"/>
    </xf>
    <xf numFmtId="42" fontId="17" fillId="0" borderId="0" xfId="0" applyNumberFormat="1" applyFont="1" applyAlignment="1">
      <alignment horizontal="center"/>
    </xf>
    <xf numFmtId="0" fontId="18" fillId="0" borderId="0" xfId="0" applyFont="1" applyAlignment="1">
      <alignment horizontal="center"/>
    </xf>
    <xf numFmtId="0" fontId="4" fillId="2"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0" xfId="0" applyFont="1" applyFill="1" applyAlignment="1">
      <alignment horizontal="center" vertical="center" wrapText="1"/>
    </xf>
    <xf numFmtId="0" fontId="17"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40" fillId="4" borderId="8" xfId="0" applyFont="1" applyFill="1" applyBorder="1" applyAlignment="1">
      <alignment horizontal="center" vertical="center"/>
    </xf>
    <xf numFmtId="0" fontId="40" fillId="4" borderId="0" xfId="0" applyFont="1" applyFill="1" applyAlignment="1">
      <alignment horizontal="center" vertical="center"/>
    </xf>
    <xf numFmtId="0" fontId="40" fillId="4" borderId="9" xfId="0" applyFont="1" applyFill="1" applyBorder="1" applyAlignment="1">
      <alignment horizontal="center" vertical="center"/>
    </xf>
    <xf numFmtId="0" fontId="40" fillId="4" borderId="10"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11" xfId="0" applyFont="1" applyFill="1" applyBorder="1" applyAlignment="1">
      <alignment horizontal="center" vertical="center"/>
    </xf>
    <xf numFmtId="164" fontId="13" fillId="4" borderId="16" xfId="0" applyNumberFormat="1" applyFont="1" applyFill="1" applyBorder="1" applyAlignment="1">
      <alignment horizontal="center" vertical="center"/>
    </xf>
    <xf numFmtId="164" fontId="13" fillId="4" borderId="15" xfId="0" applyNumberFormat="1" applyFont="1" applyFill="1" applyBorder="1" applyAlignment="1">
      <alignment horizontal="center" vertical="center"/>
    </xf>
    <xf numFmtId="0" fontId="25" fillId="0" borderId="0" xfId="0" applyFont="1" applyAlignment="1">
      <alignment horizontal="center"/>
    </xf>
    <xf numFmtId="42" fontId="29" fillId="0" borderId="0" xfId="0" applyNumberFormat="1" applyFont="1" applyAlignment="1">
      <alignment horizontal="center"/>
    </xf>
    <xf numFmtId="42" fontId="30" fillId="0" borderId="0" xfId="0" applyNumberFormat="1" applyFont="1" applyAlignment="1">
      <alignment horizontal="center"/>
    </xf>
    <xf numFmtId="0" fontId="29" fillId="0" borderId="27" xfId="0" applyFont="1" applyBorder="1" applyAlignment="1">
      <alignment horizontal="center"/>
    </xf>
    <xf numFmtId="0" fontId="29" fillId="0" borderId="0" xfId="0" applyFont="1" applyAlignment="1">
      <alignment horizontal="center"/>
    </xf>
    <xf numFmtId="3" fontId="30" fillId="0" borderId="27" xfId="0" applyNumberFormat="1" applyFont="1" applyBorder="1" applyAlignment="1">
      <alignment horizontal="center"/>
    </xf>
    <xf numFmtId="3" fontId="30" fillId="0" borderId="0" xfId="0" applyNumberFormat="1" applyFont="1" applyAlignment="1">
      <alignment horizontal="center"/>
    </xf>
    <xf numFmtId="42" fontId="0" fillId="0" borderId="32" xfId="0" applyNumberFormat="1" applyBorder="1" applyAlignment="1">
      <alignment horizontal="center" vertical="center" wrapText="1"/>
    </xf>
    <xf numFmtId="42" fontId="0" fillId="0" borderId="31" xfId="0" applyNumberFormat="1" applyBorder="1" applyAlignment="1">
      <alignment horizontal="center" vertical="center" wrapText="1"/>
    </xf>
    <xf numFmtId="42" fontId="0" fillId="0" borderId="36" xfId="0" applyNumberFormat="1"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42" fontId="0" fillId="0" borderId="21" xfId="0" applyNumberFormat="1" applyBorder="1" applyAlignment="1">
      <alignment horizontal="center"/>
    </xf>
    <xf numFmtId="42" fontId="0" fillId="0" borderId="12" xfId="0" applyNumberFormat="1" applyBorder="1" applyAlignment="1">
      <alignment horizontal="center"/>
    </xf>
    <xf numFmtId="0" fontId="0" fillId="0" borderId="12" xfId="0" applyBorder="1" applyAlignment="1">
      <alignment horizontal="center" vertical="center" wrapText="1"/>
    </xf>
    <xf numFmtId="0" fontId="43" fillId="4" borderId="24" xfId="0" applyFont="1" applyFill="1" applyBorder="1" applyAlignment="1">
      <alignment horizontal="center" vertical="center"/>
    </xf>
    <xf numFmtId="0" fontId="43" fillId="4" borderId="25" xfId="0" applyFont="1" applyFill="1" applyBorder="1" applyAlignment="1">
      <alignment horizontal="center" vertical="center"/>
    </xf>
    <xf numFmtId="0" fontId="43" fillId="4" borderId="26" xfId="0" applyFont="1" applyFill="1" applyBorder="1" applyAlignment="1">
      <alignment horizontal="center" vertical="center"/>
    </xf>
    <xf numFmtId="0" fontId="43" fillId="4" borderId="27" xfId="0" applyFont="1" applyFill="1" applyBorder="1" applyAlignment="1">
      <alignment horizontal="center" vertical="center"/>
    </xf>
    <xf numFmtId="0" fontId="43" fillId="4" borderId="0" xfId="0" applyFont="1" applyFill="1" applyAlignment="1">
      <alignment horizontal="center" vertical="center"/>
    </xf>
    <xf numFmtId="0" fontId="43" fillId="4" borderId="28" xfId="0" applyFont="1" applyFill="1" applyBorder="1" applyAlignment="1">
      <alignment horizontal="center" vertical="center"/>
    </xf>
    <xf numFmtId="0" fontId="43" fillId="4" borderId="29" xfId="0" applyFont="1" applyFill="1" applyBorder="1" applyAlignment="1">
      <alignment horizontal="center" vertical="center"/>
    </xf>
    <xf numFmtId="0" fontId="43" fillId="4" borderId="1" xfId="0" applyFont="1" applyFill="1" applyBorder="1" applyAlignment="1">
      <alignment horizontal="center" vertical="center"/>
    </xf>
    <xf numFmtId="0" fontId="43" fillId="4" borderId="30" xfId="0" applyFont="1" applyFill="1" applyBorder="1" applyAlignment="1">
      <alignment horizontal="center" vertical="center"/>
    </xf>
    <xf numFmtId="0" fontId="0" fillId="0" borderId="37" xfId="0" applyBorder="1" applyAlignment="1">
      <alignment horizontal="center" wrapText="1"/>
    </xf>
    <xf numFmtId="0" fontId="0" fillId="0" borderId="4" xfId="0" applyBorder="1" applyAlignment="1">
      <alignment horizontal="center" wrapText="1"/>
    </xf>
    <xf numFmtId="0" fontId="0" fillId="0" borderId="15" xfId="0" applyBorder="1" applyAlignment="1">
      <alignment horizontal="center" wrapText="1"/>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2" fillId="0" borderId="37" xfId="0" applyFont="1" applyBorder="1" applyAlignment="1">
      <alignment horizontal="center" wrapText="1"/>
    </xf>
    <xf numFmtId="0" fontId="2" fillId="0" borderId="4" xfId="0" applyFont="1" applyBorder="1" applyAlignment="1">
      <alignment horizontal="center" wrapText="1"/>
    </xf>
    <xf numFmtId="42" fontId="0" fillId="0" borderId="19" xfId="0" applyNumberFormat="1" applyBorder="1" applyAlignment="1">
      <alignment horizontal="center"/>
    </xf>
    <xf numFmtId="42" fontId="0" fillId="0" borderId="42" xfId="0" applyNumberFormat="1" applyBorder="1" applyAlignment="1">
      <alignment horizontal="center" vertical="center" wrapText="1"/>
    </xf>
    <xf numFmtId="0" fontId="25" fillId="4" borderId="16" xfId="0" applyFont="1" applyFill="1" applyBorder="1" applyAlignment="1">
      <alignment horizontal="center" vertical="center"/>
    </xf>
    <xf numFmtId="0" fontId="25" fillId="4" borderId="4" xfId="0" applyFont="1" applyFill="1" applyBorder="1" applyAlignment="1">
      <alignment horizontal="center" vertical="center"/>
    </xf>
    <xf numFmtId="0" fontId="33" fillId="0" borderId="0" xfId="0" applyFont="1" applyAlignment="1">
      <alignment horizontal="center"/>
    </xf>
    <xf numFmtId="0" fontId="32" fillId="0" borderId="0" xfId="0" applyFont="1" applyAlignment="1">
      <alignment horizontal="center"/>
    </xf>
    <xf numFmtId="0" fontId="31" fillId="4" borderId="0" xfId="0" applyFont="1" applyFill="1" applyAlignment="1">
      <alignment horizontal="center" vertical="center"/>
    </xf>
    <xf numFmtId="0" fontId="31" fillId="4" borderId="24" xfId="0" applyFont="1" applyFill="1" applyBorder="1" applyAlignment="1">
      <alignment horizontal="center" vertical="center"/>
    </xf>
    <xf numFmtId="0" fontId="31" fillId="4" borderId="25" xfId="0" applyFont="1" applyFill="1" applyBorder="1" applyAlignment="1">
      <alignment horizontal="center" vertical="center"/>
    </xf>
    <xf numFmtId="0" fontId="31" fillId="4" borderId="46" xfId="0" applyFont="1" applyFill="1" applyBorder="1" applyAlignment="1">
      <alignment horizontal="center" vertical="center"/>
    </xf>
    <xf numFmtId="0" fontId="31" fillId="4" borderId="47" xfId="0" applyFont="1" applyFill="1" applyBorder="1" applyAlignment="1">
      <alignment horizontal="center" vertical="center"/>
    </xf>
    <xf numFmtId="0" fontId="2" fillId="0" borderId="0" xfId="0" applyFont="1" applyAlignment="1">
      <alignment horizontal="center"/>
    </xf>
    <xf numFmtId="0" fontId="34" fillId="0" borderId="0" xfId="0" applyFont="1" applyAlignment="1">
      <alignment horizontal="center"/>
    </xf>
  </cellXfs>
  <cellStyles count="4">
    <cellStyle name="Hipervínculo" xfId="3" builtinId="8"/>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32</xdr:row>
      <xdr:rowOff>161925</xdr:rowOff>
    </xdr:from>
    <xdr:to>
      <xdr:col>3</xdr:col>
      <xdr:colOff>953243</xdr:colOff>
      <xdr:row>41</xdr:row>
      <xdr:rowOff>38323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3825" y="7258050"/>
          <a:ext cx="5325218" cy="16004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428625</xdr:colOff>
      <xdr:row>38</xdr:row>
      <xdr:rowOff>190500</xdr:rowOff>
    </xdr:from>
    <xdr:to>
      <xdr:col>3</xdr:col>
      <xdr:colOff>524618</xdr:colOff>
      <xdr:row>47</xdr:row>
      <xdr:rowOff>66898</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428625" y="8782050"/>
          <a:ext cx="5325218" cy="16004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533400</xdr:colOff>
      <xdr:row>39</xdr:row>
      <xdr:rowOff>161925</xdr:rowOff>
    </xdr:from>
    <xdr:to>
      <xdr:col>3</xdr:col>
      <xdr:colOff>524618</xdr:colOff>
      <xdr:row>48</xdr:row>
      <xdr:rowOff>38323</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33400" y="8801100"/>
          <a:ext cx="5325218" cy="16004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762000</xdr:colOff>
      <xdr:row>19</xdr:row>
      <xdr:rowOff>19050</xdr:rowOff>
    </xdr:from>
    <xdr:to>
      <xdr:col>5</xdr:col>
      <xdr:colOff>400793</xdr:colOff>
      <xdr:row>27</xdr:row>
      <xdr:rowOff>95473</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62000" y="4610100"/>
          <a:ext cx="5325218" cy="16004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1485900</xdr:colOff>
      <xdr:row>19</xdr:row>
      <xdr:rowOff>0</xdr:rowOff>
    </xdr:from>
    <xdr:to>
      <xdr:col>6</xdr:col>
      <xdr:colOff>200768</xdr:colOff>
      <xdr:row>27</xdr:row>
      <xdr:rowOff>76423</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485900" y="4600575"/>
          <a:ext cx="5325218" cy="16004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1057275</xdr:colOff>
      <xdr:row>18</xdr:row>
      <xdr:rowOff>190500</xdr:rowOff>
    </xdr:from>
    <xdr:to>
      <xdr:col>5</xdr:col>
      <xdr:colOff>562718</xdr:colOff>
      <xdr:row>27</xdr:row>
      <xdr:rowOff>66898</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57275" y="4610100"/>
          <a:ext cx="5325218" cy="16004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228600</xdr:colOff>
      <xdr:row>40</xdr:row>
      <xdr:rowOff>66675</xdr:rowOff>
    </xdr:from>
    <xdr:to>
      <xdr:col>1</xdr:col>
      <xdr:colOff>610343</xdr:colOff>
      <xdr:row>48</xdr:row>
      <xdr:rowOff>143098</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28600" y="9010650"/>
          <a:ext cx="5325218" cy="160042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523875</xdr:colOff>
      <xdr:row>39</xdr:row>
      <xdr:rowOff>152400</xdr:rowOff>
    </xdr:from>
    <xdr:to>
      <xdr:col>1</xdr:col>
      <xdr:colOff>905618</xdr:colOff>
      <xdr:row>48</xdr:row>
      <xdr:rowOff>28798</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23875" y="8877300"/>
          <a:ext cx="5325218" cy="160042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257175</xdr:colOff>
      <xdr:row>34</xdr:row>
      <xdr:rowOff>0</xdr:rowOff>
    </xdr:from>
    <xdr:to>
      <xdr:col>1</xdr:col>
      <xdr:colOff>638918</xdr:colOff>
      <xdr:row>42</xdr:row>
      <xdr:rowOff>76423</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257175" y="7772400"/>
          <a:ext cx="5325218" cy="160042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152400</xdr:colOff>
      <xdr:row>33</xdr:row>
      <xdr:rowOff>190500</xdr:rowOff>
    </xdr:from>
    <xdr:to>
      <xdr:col>1</xdr:col>
      <xdr:colOff>534143</xdr:colOff>
      <xdr:row>42</xdr:row>
      <xdr:rowOff>66898</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52400" y="7762875"/>
          <a:ext cx="5325218" cy="160042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904875</xdr:colOff>
      <xdr:row>26</xdr:row>
      <xdr:rowOff>152400</xdr:rowOff>
    </xdr:from>
    <xdr:to>
      <xdr:col>8</xdr:col>
      <xdr:colOff>419843</xdr:colOff>
      <xdr:row>35</xdr:row>
      <xdr:rowOff>19273</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4972050" y="7810500"/>
          <a:ext cx="5325218" cy="1600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3</xdr:col>
      <xdr:colOff>1000868</xdr:colOff>
      <xdr:row>41</xdr:row>
      <xdr:rowOff>76423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7181850"/>
          <a:ext cx="5325218" cy="160042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2464593</xdr:colOff>
      <xdr:row>87</xdr:row>
      <xdr:rowOff>83343</xdr:rowOff>
    </xdr:from>
    <xdr:to>
      <xdr:col>3</xdr:col>
      <xdr:colOff>1062780</xdr:colOff>
      <xdr:row>95</xdr:row>
      <xdr:rowOff>159766</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2464593" y="23491031"/>
          <a:ext cx="5325218" cy="160042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142875</xdr:colOff>
      <xdr:row>25</xdr:row>
      <xdr:rowOff>161925</xdr:rowOff>
    </xdr:from>
    <xdr:to>
      <xdr:col>4</xdr:col>
      <xdr:colOff>715118</xdr:colOff>
      <xdr:row>34</xdr:row>
      <xdr:rowOff>47848</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904875" y="7362825"/>
          <a:ext cx="5325218" cy="160042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625929</xdr:colOff>
      <xdr:row>36</xdr:row>
      <xdr:rowOff>353786</xdr:rowOff>
    </xdr:from>
    <xdr:to>
      <xdr:col>7</xdr:col>
      <xdr:colOff>358611</xdr:colOff>
      <xdr:row>44</xdr:row>
      <xdr:rowOff>49209</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5619750" y="22778357"/>
          <a:ext cx="5325218" cy="1600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34</xdr:row>
      <xdr:rowOff>0</xdr:rowOff>
    </xdr:from>
    <xdr:to>
      <xdr:col>3</xdr:col>
      <xdr:colOff>896093</xdr:colOff>
      <xdr:row>42</xdr:row>
      <xdr:rowOff>76423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7419975"/>
          <a:ext cx="5325218" cy="16004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31</xdr:row>
      <xdr:rowOff>66675</xdr:rowOff>
    </xdr:from>
    <xdr:to>
      <xdr:col>3</xdr:col>
      <xdr:colOff>867518</xdr:colOff>
      <xdr:row>39</xdr:row>
      <xdr:rowOff>133573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6200" y="6896100"/>
          <a:ext cx="5325218" cy="16004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38</xdr:row>
      <xdr:rowOff>95250</xdr:rowOff>
    </xdr:from>
    <xdr:to>
      <xdr:col>1</xdr:col>
      <xdr:colOff>905618</xdr:colOff>
      <xdr:row>46</xdr:row>
      <xdr:rowOff>95473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8191500"/>
          <a:ext cx="5325218" cy="16004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39</xdr:row>
      <xdr:rowOff>133350</xdr:rowOff>
    </xdr:from>
    <xdr:to>
      <xdr:col>1</xdr:col>
      <xdr:colOff>896093</xdr:colOff>
      <xdr:row>48</xdr:row>
      <xdr:rowOff>19273</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7150" y="8382000"/>
          <a:ext cx="5325218" cy="16004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38</xdr:row>
      <xdr:rowOff>133350</xdr:rowOff>
    </xdr:from>
    <xdr:to>
      <xdr:col>1</xdr:col>
      <xdr:colOff>1019918</xdr:colOff>
      <xdr:row>46</xdr:row>
      <xdr:rowOff>162148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8100" y="8210550"/>
          <a:ext cx="5325218" cy="16004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37</xdr:row>
          <xdr:rowOff>66675</xdr:rowOff>
        </xdr:from>
        <xdr:to>
          <xdr:col>0</xdr:col>
          <xdr:colOff>1762125</xdr:colOff>
          <xdr:row>42</xdr:row>
          <xdr:rowOff>200025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2933700</xdr:colOff>
      <xdr:row>37</xdr:row>
      <xdr:rowOff>161925</xdr:rowOff>
    </xdr:from>
    <xdr:to>
      <xdr:col>1</xdr:col>
      <xdr:colOff>819474</xdr:colOff>
      <xdr:row>42</xdr:row>
      <xdr:rowOff>209716</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933700" y="8039100"/>
          <a:ext cx="2324424" cy="11907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38</xdr:row>
      <xdr:rowOff>133350</xdr:rowOff>
    </xdr:from>
    <xdr:to>
      <xdr:col>3</xdr:col>
      <xdr:colOff>448418</xdr:colOff>
      <xdr:row>47</xdr:row>
      <xdr:rowOff>223</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42900" y="8343900"/>
          <a:ext cx="5325218" cy="16004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directorio-empresas.einforma.co/informacion-empresa/productos-agroquimicos-fertilizantes-sas" TargetMode="External"/><Relationship Id="rId1" Type="http://schemas.openxmlformats.org/officeDocument/2006/relationships/hyperlink" Target="https://directorio-empresas.einforma.co/informacion-empresa/insumos-agricolas-andes-sas" TargetMode="External"/><Relationship Id="rId4"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B557-A3EF-46B6-966F-EED66F517A06}">
  <sheetPr>
    <pageSetUpPr fitToPage="1"/>
  </sheetPr>
  <dimension ref="A1:F40"/>
  <sheetViews>
    <sheetView topLeftCell="A26" workbookViewId="0">
      <selection activeCell="B34" sqref="B34"/>
    </sheetView>
  </sheetViews>
  <sheetFormatPr baseColWidth="10" defaultRowHeight="15" x14ac:dyDescent="0.25"/>
  <cols>
    <col min="2" max="2" width="27.5703125" customWidth="1"/>
    <col min="3" max="3" width="28.42578125" customWidth="1"/>
    <col min="4" max="4" width="15.28515625" customWidth="1"/>
    <col min="6" max="6" width="12.5703125" bestFit="1" customWidth="1"/>
  </cols>
  <sheetData>
    <row r="1" spans="1:5" ht="15.75" thickBot="1" x14ac:dyDescent="0.3">
      <c r="A1" s="1"/>
      <c r="B1" s="1"/>
      <c r="C1" s="1"/>
      <c r="D1" s="1"/>
    </row>
    <row r="2" spans="1:5" ht="21" customHeight="1" thickTop="1" x14ac:dyDescent="0.25">
      <c r="A2" s="305" t="s">
        <v>252</v>
      </c>
      <c r="B2" s="305"/>
      <c r="C2" s="305"/>
      <c r="D2" s="305"/>
    </row>
    <row r="3" spans="1:5" ht="20.25" customHeight="1" x14ac:dyDescent="0.25">
      <c r="A3" s="305" t="s">
        <v>253</v>
      </c>
      <c r="B3" s="305"/>
      <c r="C3" s="305"/>
      <c r="D3" s="305"/>
    </row>
    <row r="4" spans="1:5" ht="19.5" customHeight="1" x14ac:dyDescent="0.25">
      <c r="A4" s="305" t="s">
        <v>0</v>
      </c>
      <c r="B4" s="305"/>
      <c r="C4" s="305"/>
      <c r="D4" s="305"/>
    </row>
    <row r="5" spans="1:5" ht="17.25" customHeight="1" thickBot="1" x14ac:dyDescent="0.3">
      <c r="A5" s="306" t="s">
        <v>1</v>
      </c>
      <c r="B5" s="306"/>
      <c r="C5" s="306"/>
      <c r="D5" s="306"/>
    </row>
    <row r="6" spans="1:5" ht="20.25" customHeight="1" thickTop="1" thickBot="1" x14ac:dyDescent="0.3">
      <c r="A6" s="2"/>
      <c r="B6" s="2"/>
      <c r="C6" s="2"/>
      <c r="D6" s="3" t="s">
        <v>2</v>
      </c>
    </row>
    <row r="7" spans="1:5" ht="19.5" customHeight="1" thickTop="1" x14ac:dyDescent="0.25">
      <c r="A7" s="2"/>
      <c r="B7" s="2"/>
      <c r="C7" s="2"/>
      <c r="D7" s="4">
        <v>2018</v>
      </c>
      <c r="E7" s="5"/>
    </row>
    <row r="8" spans="1:5" ht="21" customHeight="1" x14ac:dyDescent="0.25">
      <c r="A8" s="6" t="s">
        <v>3</v>
      </c>
      <c r="B8" s="7"/>
      <c r="C8" s="7"/>
      <c r="D8" s="8"/>
    </row>
    <row r="9" spans="1:5" x14ac:dyDescent="0.25">
      <c r="A9" s="6" t="s">
        <v>4</v>
      </c>
      <c r="B9" s="7"/>
      <c r="C9" s="7"/>
      <c r="D9" s="9"/>
    </row>
    <row r="10" spans="1:5" x14ac:dyDescent="0.25">
      <c r="A10" s="7" t="s">
        <v>5</v>
      </c>
      <c r="B10" s="7"/>
      <c r="C10" s="7"/>
      <c r="D10" s="10">
        <v>1335547000</v>
      </c>
    </row>
    <row r="11" spans="1:5" x14ac:dyDescent="0.25">
      <c r="A11" s="7" t="s">
        <v>349</v>
      </c>
      <c r="B11" s="7"/>
      <c r="C11" s="7"/>
      <c r="D11" s="10">
        <v>10447000</v>
      </c>
    </row>
    <row r="12" spans="1:5" ht="25.5" customHeight="1" x14ac:dyDescent="0.25">
      <c r="A12" s="307" t="s">
        <v>7</v>
      </c>
      <c r="B12" s="307"/>
      <c r="C12" s="11"/>
      <c r="D12" s="12">
        <f>D10-D11</f>
        <v>1325100000</v>
      </c>
    </row>
    <row r="13" spans="1:5" ht="18" customHeight="1" x14ac:dyDescent="0.25">
      <c r="A13" s="13" t="s">
        <v>8</v>
      </c>
      <c r="B13" s="13"/>
      <c r="C13" s="7"/>
      <c r="D13" s="14">
        <f>SUM(D14:D14)</f>
        <v>1086671030</v>
      </c>
    </row>
    <row r="14" spans="1:5" x14ac:dyDescent="0.25">
      <c r="A14" s="7" t="s">
        <v>9</v>
      </c>
      <c r="B14" s="7"/>
      <c r="C14" s="7"/>
      <c r="D14" s="15">
        <v>1086671030</v>
      </c>
    </row>
    <row r="15" spans="1:5" x14ac:dyDescent="0.25">
      <c r="A15" s="13" t="s">
        <v>10</v>
      </c>
      <c r="B15" s="13"/>
      <c r="C15" s="7"/>
      <c r="D15" s="14">
        <f>D12-D13</f>
        <v>238428970</v>
      </c>
    </row>
    <row r="16" spans="1:5" ht="19.5" customHeight="1" x14ac:dyDescent="0.25">
      <c r="A16" s="304" t="s">
        <v>11</v>
      </c>
      <c r="B16" s="304"/>
      <c r="C16" s="304"/>
      <c r="D16" s="16"/>
    </row>
    <row r="17" spans="1:6" x14ac:dyDescent="0.25">
      <c r="A17" s="308" t="s">
        <v>12</v>
      </c>
      <c r="B17" s="308"/>
      <c r="C17" s="308"/>
      <c r="D17" s="16">
        <v>104664970</v>
      </c>
      <c r="F17" s="149"/>
    </row>
    <row r="18" spans="1:6" x14ac:dyDescent="0.25">
      <c r="A18" s="7" t="s">
        <v>13</v>
      </c>
      <c r="B18" s="7"/>
      <c r="C18" s="7"/>
      <c r="D18" s="16">
        <v>0</v>
      </c>
      <c r="F18" s="149"/>
    </row>
    <row r="19" spans="1:6" x14ac:dyDescent="0.25">
      <c r="A19" s="17" t="s">
        <v>14</v>
      </c>
      <c r="B19" s="17"/>
      <c r="C19" s="17"/>
      <c r="D19" s="16">
        <v>0</v>
      </c>
    </row>
    <row r="20" spans="1:6" ht="20.25" customHeight="1" x14ac:dyDescent="0.25">
      <c r="A20" s="309" t="s">
        <v>15</v>
      </c>
      <c r="B20" s="309"/>
      <c r="C20" s="7"/>
      <c r="D20" s="18">
        <f>SUM(D17:D19)</f>
        <v>104664970</v>
      </c>
    </row>
    <row r="21" spans="1:6" ht="23.25" customHeight="1" x14ac:dyDescent="0.25">
      <c r="A21" s="19" t="s">
        <v>16</v>
      </c>
      <c r="B21" s="19"/>
      <c r="C21" s="11"/>
      <c r="D21" s="20">
        <f>D15-D20</f>
        <v>133764000</v>
      </c>
    </row>
    <row r="22" spans="1:6" x14ac:dyDescent="0.25">
      <c r="A22" s="13" t="s">
        <v>17</v>
      </c>
      <c r="B22" s="13"/>
      <c r="C22" s="7"/>
      <c r="D22" s="14">
        <f>SUM(D23:D24)</f>
        <v>0</v>
      </c>
    </row>
    <row r="23" spans="1:6" x14ac:dyDescent="0.25">
      <c r="A23" s="7" t="s">
        <v>18</v>
      </c>
      <c r="B23" s="13"/>
      <c r="C23" s="7"/>
      <c r="D23" s="16">
        <v>0</v>
      </c>
    </row>
    <row r="24" spans="1:6" x14ac:dyDescent="0.25">
      <c r="A24" s="7" t="s">
        <v>19</v>
      </c>
      <c r="B24" s="7"/>
      <c r="C24" s="7"/>
      <c r="D24" s="15">
        <v>0</v>
      </c>
      <c r="F24" s="149"/>
    </row>
    <row r="25" spans="1:6" x14ac:dyDescent="0.25">
      <c r="A25" s="13" t="s">
        <v>204</v>
      </c>
      <c r="B25" s="13"/>
      <c r="C25" s="7"/>
      <c r="D25" s="14">
        <f>SUM(D26:D27)</f>
        <v>24679000</v>
      </c>
      <c r="F25" s="149"/>
    </row>
    <row r="26" spans="1:6" x14ac:dyDescent="0.25">
      <c r="A26" s="7" t="s">
        <v>21</v>
      </c>
      <c r="B26" s="7"/>
      <c r="C26" s="7"/>
      <c r="D26" s="16">
        <v>0</v>
      </c>
    </row>
    <row r="27" spans="1:6" x14ac:dyDescent="0.25">
      <c r="A27" s="7" t="s">
        <v>22</v>
      </c>
      <c r="B27" s="7"/>
      <c r="C27" s="7"/>
      <c r="D27" s="15">
        <v>24679000</v>
      </c>
    </row>
    <row r="28" spans="1:6" x14ac:dyDescent="0.25">
      <c r="A28" s="7" t="s">
        <v>23</v>
      </c>
      <c r="B28" s="7"/>
      <c r="C28" s="7"/>
      <c r="D28" s="14">
        <f>D21+D22-D25</f>
        <v>109085000</v>
      </c>
    </row>
    <row r="29" spans="1:6" x14ac:dyDescent="0.25">
      <c r="A29" s="7" t="s">
        <v>24</v>
      </c>
      <c r="B29" s="7"/>
      <c r="C29" s="7"/>
      <c r="D29" s="16">
        <v>0</v>
      </c>
    </row>
    <row r="30" spans="1:6" ht="17.25" customHeight="1" x14ac:dyDescent="0.25">
      <c r="A30" s="13" t="s">
        <v>25</v>
      </c>
      <c r="B30" s="13"/>
      <c r="C30" s="7"/>
      <c r="D30" s="14">
        <f>SUM(D28:D29)</f>
        <v>109085000</v>
      </c>
    </row>
    <row r="31" spans="1:6" x14ac:dyDescent="0.25">
      <c r="A31" s="7" t="s">
        <v>26</v>
      </c>
      <c r="B31" s="7"/>
      <c r="C31" s="7"/>
      <c r="D31" s="15">
        <v>0</v>
      </c>
    </row>
    <row r="32" spans="1:6" ht="25.5" customHeight="1" thickBot="1" x14ac:dyDescent="0.3">
      <c r="A32" s="19" t="s">
        <v>27</v>
      </c>
      <c r="B32" s="19"/>
      <c r="C32" s="11"/>
      <c r="D32" s="21">
        <f>SUM(D30:D31)</f>
        <v>109085000</v>
      </c>
    </row>
    <row r="33" spans="1:4" ht="15.75" thickTop="1" x14ac:dyDescent="0.25">
      <c r="A33" s="22"/>
      <c r="B33" s="22"/>
      <c r="C33" s="22"/>
      <c r="D33" s="22"/>
    </row>
    <row r="34" spans="1:4" x14ac:dyDescent="0.25">
      <c r="A34" s="22"/>
      <c r="B34" s="22"/>
      <c r="C34" s="22"/>
      <c r="D34" s="22"/>
    </row>
    <row r="35" spans="1:4" x14ac:dyDescent="0.25">
      <c r="A35" s="23"/>
      <c r="B35" s="23"/>
      <c r="C35" s="22"/>
      <c r="D35" s="22"/>
    </row>
    <row r="36" spans="1:4" x14ac:dyDescent="0.25">
      <c r="A36" s="23"/>
      <c r="B36" s="23"/>
      <c r="C36" s="22"/>
      <c r="D36" s="22"/>
    </row>
    <row r="37" spans="1:4" x14ac:dyDescent="0.25">
      <c r="A37" s="23"/>
      <c r="B37" s="23"/>
      <c r="C37" s="24"/>
      <c r="D37" s="25"/>
    </row>
    <row r="38" spans="1:4" ht="15" customHeight="1" x14ac:dyDescent="0.25">
      <c r="A38" s="310"/>
      <c r="B38" s="310"/>
      <c r="C38" s="310"/>
      <c r="D38" s="310"/>
    </row>
    <row r="39" spans="1:4" x14ac:dyDescent="0.25">
      <c r="A39" s="26"/>
      <c r="B39" s="27"/>
      <c r="C39" s="311"/>
      <c r="D39" s="311"/>
    </row>
    <row r="40" spans="1:4" x14ac:dyDescent="0.25">
      <c r="C40" s="28"/>
      <c r="D40" s="28"/>
    </row>
  </sheetData>
  <mergeCells count="11">
    <mergeCell ref="A17:C17"/>
    <mergeCell ref="A20:B20"/>
    <mergeCell ref="A38:B38"/>
    <mergeCell ref="C38:D38"/>
    <mergeCell ref="C39:D39"/>
    <mergeCell ref="A16:C16"/>
    <mergeCell ref="A2:D2"/>
    <mergeCell ref="A3:D3"/>
    <mergeCell ref="A4:D4"/>
    <mergeCell ref="A5:D5"/>
    <mergeCell ref="A12:B12"/>
  </mergeCells>
  <pageMargins left="0.9055118110236221" right="0.70866141732283472" top="1.5354330708661419" bottom="0.74803149606299213" header="0.31496062992125984" footer="0.31496062992125984"/>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A958-06DE-47A4-A27B-1B6371744C48}">
  <sheetPr>
    <pageSetUpPr fitToPage="1"/>
  </sheetPr>
  <dimension ref="A1:D42"/>
  <sheetViews>
    <sheetView topLeftCell="A36" workbookViewId="0">
      <selection activeCell="A42" sqref="A42"/>
    </sheetView>
  </sheetViews>
  <sheetFormatPr baseColWidth="10" defaultRowHeight="15" x14ac:dyDescent="0.25"/>
  <cols>
    <col min="1" max="1" width="51.140625" customWidth="1"/>
    <col min="2" max="2" width="13" customWidth="1"/>
    <col min="3" max="3" width="14.28515625" customWidth="1"/>
    <col min="4" max="4" width="14.5703125" bestFit="1" customWidth="1"/>
  </cols>
  <sheetData>
    <row r="1" spans="1:4" ht="15.75" thickBot="1" x14ac:dyDescent="0.3">
      <c r="A1" s="29"/>
      <c r="B1" s="29"/>
      <c r="C1" s="29"/>
      <c r="D1" s="29"/>
    </row>
    <row r="2" spans="1:4" ht="21.75" customHeight="1" thickTop="1" x14ac:dyDescent="0.25">
      <c r="A2" s="315" t="s">
        <v>252</v>
      </c>
      <c r="B2" s="315"/>
      <c r="C2" s="315"/>
      <c r="D2" s="315"/>
    </row>
    <row r="3" spans="1:4" ht="15" customHeight="1" x14ac:dyDescent="0.25">
      <c r="A3" s="305" t="s">
        <v>253</v>
      </c>
      <c r="B3" s="305"/>
      <c r="C3" s="305"/>
      <c r="D3" s="305"/>
    </row>
    <row r="4" spans="1:4" ht="16.5" customHeight="1" x14ac:dyDescent="0.25">
      <c r="A4" s="305" t="s">
        <v>59</v>
      </c>
      <c r="B4" s="305"/>
      <c r="C4" s="305"/>
      <c r="D4" s="305"/>
    </row>
    <row r="5" spans="1:4" ht="17.25" customHeight="1" thickBot="1" x14ac:dyDescent="0.3">
      <c r="A5" s="306" t="s">
        <v>199</v>
      </c>
      <c r="B5" s="306"/>
      <c r="C5" s="306"/>
      <c r="D5" s="306"/>
    </row>
    <row r="6" spans="1:4" ht="12" customHeight="1" thickTop="1" x14ac:dyDescent="0.25">
      <c r="A6" s="30"/>
      <c r="B6" s="316" t="s">
        <v>89</v>
      </c>
      <c r="C6" s="316" t="s">
        <v>61</v>
      </c>
      <c r="D6" s="316" t="s">
        <v>63</v>
      </c>
    </row>
    <row r="7" spans="1:4" ht="27.75" customHeight="1" x14ac:dyDescent="0.25">
      <c r="A7" s="101" t="s">
        <v>32</v>
      </c>
      <c r="B7" s="317"/>
      <c r="C7" s="317"/>
      <c r="D7" s="317"/>
    </row>
    <row r="8" spans="1:4" ht="26.25" customHeight="1" x14ac:dyDescent="0.25">
      <c r="A8" s="102" t="s">
        <v>64</v>
      </c>
      <c r="B8" s="317"/>
      <c r="C8" s="317"/>
      <c r="D8" s="317"/>
    </row>
    <row r="9" spans="1:4" x14ac:dyDescent="0.25">
      <c r="A9" s="86" t="s">
        <v>65</v>
      </c>
      <c r="B9" s="89">
        <v>2147066</v>
      </c>
      <c r="C9" s="89">
        <v>8749702</v>
      </c>
      <c r="D9" s="89">
        <f t="shared" ref="D9:D14" si="0">C9-B9</f>
        <v>6602636</v>
      </c>
    </row>
    <row r="10" spans="1:4" x14ac:dyDescent="0.25">
      <c r="A10" s="86" t="s">
        <v>66</v>
      </c>
      <c r="B10" s="89">
        <v>165626767</v>
      </c>
      <c r="C10" s="89">
        <v>317635920</v>
      </c>
      <c r="D10" s="89">
        <f t="shared" si="0"/>
        <v>152009153</v>
      </c>
    </row>
    <row r="11" spans="1:4" x14ac:dyDescent="0.25">
      <c r="A11" s="86" t="s">
        <v>67</v>
      </c>
      <c r="B11" s="104">
        <v>181897110</v>
      </c>
      <c r="C11" s="104">
        <v>19138367</v>
      </c>
      <c r="D11" s="89">
        <f t="shared" si="0"/>
        <v>-162758743</v>
      </c>
    </row>
    <row r="12" spans="1:4" ht="18.75" customHeight="1" x14ac:dyDescent="0.25">
      <c r="A12" s="86" t="s">
        <v>68</v>
      </c>
      <c r="B12" s="89">
        <v>186382387</v>
      </c>
      <c r="C12" s="89">
        <v>440830118</v>
      </c>
      <c r="D12" s="89">
        <f t="shared" si="0"/>
        <v>254447731</v>
      </c>
    </row>
    <row r="13" spans="1:4" ht="10.5" customHeight="1" x14ac:dyDescent="0.25">
      <c r="A13" s="86" t="s">
        <v>354</v>
      </c>
      <c r="B13" s="89">
        <v>300000</v>
      </c>
      <c r="C13" s="89">
        <v>300000</v>
      </c>
      <c r="D13" s="89"/>
    </row>
    <row r="14" spans="1:4" ht="19.5" customHeight="1" x14ac:dyDescent="0.25">
      <c r="A14" s="102" t="s">
        <v>69</v>
      </c>
      <c r="B14" s="105">
        <f>SUM(B9:B13)</f>
        <v>536353330</v>
      </c>
      <c r="C14" s="105">
        <f>SUM(C9:C13)</f>
        <v>786654107</v>
      </c>
      <c r="D14" s="105">
        <f t="shared" si="0"/>
        <v>250300777</v>
      </c>
    </row>
    <row r="15" spans="1:4" x14ac:dyDescent="0.25">
      <c r="A15" s="24"/>
      <c r="B15" s="94"/>
      <c r="C15" s="94"/>
      <c r="D15" s="94"/>
    </row>
    <row r="16" spans="1:4" ht="20.25" customHeight="1" x14ac:dyDescent="0.25">
      <c r="A16" s="102" t="s">
        <v>70</v>
      </c>
      <c r="B16" s="89"/>
      <c r="C16" s="89"/>
      <c r="D16" s="89"/>
    </row>
    <row r="17" spans="1:4" ht="22.5" customHeight="1" x14ac:dyDescent="0.25">
      <c r="A17" s="86" t="s">
        <v>71</v>
      </c>
      <c r="B17" s="106">
        <v>890920000</v>
      </c>
      <c r="C17" s="106">
        <v>732362862</v>
      </c>
      <c r="D17" s="90">
        <f>C17-B17</f>
        <v>-158557138</v>
      </c>
    </row>
    <row r="18" spans="1:4" ht="23.25" customHeight="1" x14ac:dyDescent="0.25">
      <c r="A18" s="102" t="s">
        <v>72</v>
      </c>
      <c r="B18" s="93">
        <f>SUM(B17:B17)</f>
        <v>890920000</v>
      </c>
      <c r="C18" s="93">
        <f>SUM(C17:C17)</f>
        <v>732362862</v>
      </c>
      <c r="D18" s="93">
        <f t="shared" ref="D18:D19" si="1">C18-B18</f>
        <v>-158557138</v>
      </c>
    </row>
    <row r="19" spans="1:4" ht="16.5" customHeight="1" x14ac:dyDescent="0.25">
      <c r="A19" s="19" t="s">
        <v>73</v>
      </c>
      <c r="B19" s="12">
        <f>B14+B18</f>
        <v>1427273330</v>
      </c>
      <c r="C19" s="12">
        <f>C14+C18</f>
        <v>1519016969</v>
      </c>
      <c r="D19" s="12">
        <f t="shared" si="1"/>
        <v>91743639</v>
      </c>
    </row>
    <row r="20" spans="1:4" x14ac:dyDescent="0.25">
      <c r="A20" s="102" t="s">
        <v>74</v>
      </c>
      <c r="B20" s="89"/>
      <c r="C20" s="89"/>
      <c r="D20" s="89"/>
    </row>
    <row r="21" spans="1:4" x14ac:dyDescent="0.25">
      <c r="A21" s="102" t="s">
        <v>75</v>
      </c>
      <c r="B21" s="89"/>
      <c r="C21" s="89"/>
      <c r="D21" s="89"/>
    </row>
    <row r="22" spans="1:4" x14ac:dyDescent="0.25">
      <c r="A22" s="86" t="s">
        <v>76</v>
      </c>
      <c r="B22" s="89">
        <v>619928494</v>
      </c>
      <c r="C22" s="89">
        <v>731123938</v>
      </c>
      <c r="D22" s="89">
        <f t="shared" ref="D22:D24" si="2">C22-B22</f>
        <v>111195444</v>
      </c>
    </row>
    <row r="23" spans="1:4" x14ac:dyDescent="0.25">
      <c r="A23" s="86" t="s">
        <v>77</v>
      </c>
      <c r="B23" s="89">
        <v>28870000</v>
      </c>
      <c r="C23" s="89">
        <v>19004000</v>
      </c>
      <c r="D23" s="89">
        <f t="shared" si="2"/>
        <v>-9866000</v>
      </c>
    </row>
    <row r="24" spans="1:4" ht="21.75" customHeight="1" x14ac:dyDescent="0.25">
      <c r="A24" s="86" t="s">
        <v>353</v>
      </c>
      <c r="B24" s="90">
        <v>9835831</v>
      </c>
      <c r="C24" s="90">
        <v>8968804</v>
      </c>
      <c r="D24" s="90">
        <f t="shared" si="2"/>
        <v>-867027</v>
      </c>
    </row>
    <row r="25" spans="1:4" ht="12" customHeight="1" x14ac:dyDescent="0.25">
      <c r="A25" s="102" t="s">
        <v>78</v>
      </c>
      <c r="B25" s="105">
        <f>SUM(B22:B24)</f>
        <v>658634325</v>
      </c>
      <c r="C25" s="105">
        <f>SUM(C22:C24)</f>
        <v>759096742</v>
      </c>
      <c r="D25" s="105">
        <f>SUM(D22:D24)</f>
        <v>100462417</v>
      </c>
    </row>
    <row r="26" spans="1:4" ht="20.25" customHeight="1" x14ac:dyDescent="0.25">
      <c r="A26" s="24"/>
      <c r="B26" s="94"/>
      <c r="C26" s="94"/>
      <c r="D26" s="94"/>
    </row>
    <row r="27" spans="1:4" x14ac:dyDescent="0.25">
      <c r="A27" s="102" t="s">
        <v>79</v>
      </c>
      <c r="B27" s="89"/>
      <c r="C27" s="89"/>
      <c r="D27" s="89"/>
    </row>
    <row r="28" spans="1:4" ht="21.75" customHeight="1" x14ac:dyDescent="0.25">
      <c r="A28" s="86" t="s">
        <v>80</v>
      </c>
      <c r="B28" s="89">
        <v>673477431</v>
      </c>
      <c r="C28" s="89">
        <v>634702574</v>
      </c>
      <c r="D28" s="89">
        <f>C28-B28</f>
        <v>-38774857</v>
      </c>
    </row>
    <row r="29" spans="1:4" ht="24" customHeight="1" x14ac:dyDescent="0.25">
      <c r="A29" s="86" t="s">
        <v>81</v>
      </c>
      <c r="B29" s="89">
        <v>0</v>
      </c>
      <c r="C29" s="89">
        <v>0</v>
      </c>
      <c r="D29" s="89">
        <f>C29-B29</f>
        <v>0</v>
      </c>
    </row>
    <row r="30" spans="1:4" x14ac:dyDescent="0.25">
      <c r="A30" s="102" t="s">
        <v>82</v>
      </c>
      <c r="B30" s="93">
        <f>SUM(B28:B29)</f>
        <v>673477431</v>
      </c>
      <c r="C30" s="93">
        <f>SUM(C28:C29)</f>
        <v>634702574</v>
      </c>
      <c r="D30" s="93">
        <f>C30-B30</f>
        <v>-38774857</v>
      </c>
    </row>
    <row r="31" spans="1:4" ht="15.75" customHeight="1" x14ac:dyDescent="0.25">
      <c r="A31" s="19" t="s">
        <v>83</v>
      </c>
      <c r="B31" s="12">
        <f>B25+B30</f>
        <v>1332111756</v>
      </c>
      <c r="C31" s="12">
        <f>C25+C30</f>
        <v>1393799316</v>
      </c>
      <c r="D31" s="12">
        <f>C31-B31</f>
        <v>61687560</v>
      </c>
    </row>
    <row r="32" spans="1:4" x14ac:dyDescent="0.25">
      <c r="A32" s="103"/>
      <c r="B32" s="107"/>
      <c r="C32" s="107"/>
      <c r="D32" s="107"/>
    </row>
    <row r="33" spans="1:4" x14ac:dyDescent="0.25">
      <c r="A33" s="102" t="s">
        <v>48</v>
      </c>
      <c r="B33" s="89"/>
      <c r="C33" s="89"/>
      <c r="D33" s="89"/>
    </row>
    <row r="34" spans="1:4" x14ac:dyDescent="0.25">
      <c r="A34" s="86" t="s">
        <v>84</v>
      </c>
      <c r="B34" s="104">
        <v>5000000</v>
      </c>
      <c r="C34" s="104">
        <v>5000000</v>
      </c>
      <c r="D34" s="89">
        <f t="shared" ref="D34:D38" si="3">C34-B34</f>
        <v>0</v>
      </c>
    </row>
    <row r="35" spans="1:4" ht="26.25" customHeight="1" x14ac:dyDescent="0.25">
      <c r="A35" s="86" t="s">
        <v>85</v>
      </c>
      <c r="B35" s="89">
        <v>0</v>
      </c>
      <c r="C35" s="89">
        <v>0</v>
      </c>
      <c r="D35" s="89">
        <f t="shared" si="3"/>
        <v>0</v>
      </c>
    </row>
    <row r="36" spans="1:4" ht="25.5" customHeight="1" x14ac:dyDescent="0.25">
      <c r="A36" s="86" t="s">
        <v>86</v>
      </c>
      <c r="B36" s="108">
        <v>90161574</v>
      </c>
      <c r="C36" s="108">
        <v>120217752</v>
      </c>
      <c r="D36" s="89">
        <f t="shared" si="3"/>
        <v>30056178</v>
      </c>
    </row>
    <row r="37" spans="1:4" x14ac:dyDescent="0.25">
      <c r="A37" s="102" t="s">
        <v>87</v>
      </c>
      <c r="B37" s="93">
        <f>SUM(B34:B36)</f>
        <v>95161574</v>
      </c>
      <c r="C37" s="93">
        <f>SUM(C34:C36)</f>
        <v>125217752</v>
      </c>
      <c r="D37" s="93">
        <f t="shared" si="3"/>
        <v>30056178</v>
      </c>
    </row>
    <row r="38" spans="1:4" ht="15.75" thickBot="1" x14ac:dyDescent="0.3">
      <c r="A38" s="19" t="s">
        <v>88</v>
      </c>
      <c r="B38" s="109">
        <f>B31+B37</f>
        <v>1427273330</v>
      </c>
      <c r="C38" s="109">
        <f>C31+C37</f>
        <v>1519017068</v>
      </c>
      <c r="D38" s="109">
        <f t="shared" si="3"/>
        <v>91743738</v>
      </c>
    </row>
    <row r="39" spans="1:4" ht="15.75" thickTop="1" x14ac:dyDescent="0.25">
      <c r="A39" s="28"/>
      <c r="B39" s="42"/>
      <c r="C39" s="42"/>
      <c r="D39" s="43"/>
    </row>
    <row r="41" spans="1:4" x14ac:dyDescent="0.25">
      <c r="A41" s="24"/>
      <c r="B41" s="313"/>
      <c r="C41" s="313"/>
      <c r="D41" s="313"/>
    </row>
    <row r="42" spans="1:4" x14ac:dyDescent="0.25">
      <c r="A42" s="86"/>
      <c r="B42" s="318"/>
      <c r="C42" s="318"/>
      <c r="D42" s="318"/>
    </row>
  </sheetData>
  <mergeCells count="9">
    <mergeCell ref="B41:D41"/>
    <mergeCell ref="B42:D42"/>
    <mergeCell ref="A2:D2"/>
    <mergeCell ref="A3:D3"/>
    <mergeCell ref="A4:D4"/>
    <mergeCell ref="A5:D5"/>
    <mergeCell ref="B6:B8"/>
    <mergeCell ref="C6:C8"/>
    <mergeCell ref="D6:D8"/>
  </mergeCells>
  <pageMargins left="0.9055118110236221" right="0.70866141732283472" top="1.5354330708661419" bottom="0.74803149606299213" header="0.31496062992125984" footer="0.31496062992125984"/>
  <pageSetup scale="8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3B001-A7A3-493F-AB84-E041B8C17323}">
  <sheetPr>
    <pageSetUpPr fitToPage="1"/>
  </sheetPr>
  <dimension ref="A1:D50"/>
  <sheetViews>
    <sheetView topLeftCell="A33" workbookViewId="0">
      <selection activeCell="A41" sqref="A41"/>
    </sheetView>
  </sheetViews>
  <sheetFormatPr baseColWidth="10" defaultRowHeight="15" x14ac:dyDescent="0.25"/>
  <cols>
    <col min="1" max="1" width="53.7109375" customWidth="1"/>
    <col min="2" max="2" width="13" customWidth="1"/>
    <col min="3" max="3" width="13.28515625" customWidth="1"/>
    <col min="4" max="4" width="12.5703125" customWidth="1"/>
  </cols>
  <sheetData>
    <row r="1" spans="1:4" ht="15.75" thickBot="1" x14ac:dyDescent="0.3">
      <c r="A1" s="29"/>
      <c r="B1" s="29"/>
      <c r="C1" s="29"/>
      <c r="D1" s="29"/>
    </row>
    <row r="2" spans="1:4" ht="18.75" customHeight="1" thickTop="1" x14ac:dyDescent="0.25">
      <c r="A2" s="315" t="s">
        <v>252</v>
      </c>
      <c r="B2" s="315"/>
      <c r="C2" s="315"/>
      <c r="D2" s="315"/>
    </row>
    <row r="3" spans="1:4" ht="18" customHeight="1" x14ac:dyDescent="0.25">
      <c r="A3" s="305" t="s">
        <v>253</v>
      </c>
      <c r="B3" s="305"/>
      <c r="C3" s="305"/>
      <c r="D3" s="305"/>
    </row>
    <row r="4" spans="1:4" ht="19.5" customHeight="1" x14ac:dyDescent="0.25">
      <c r="A4" s="305" t="s">
        <v>59</v>
      </c>
      <c r="B4" s="305"/>
      <c r="C4" s="305"/>
      <c r="D4" s="305"/>
    </row>
    <row r="5" spans="1:4" ht="14.25" customHeight="1" thickBot="1" x14ac:dyDescent="0.3">
      <c r="A5" s="306" t="s">
        <v>200</v>
      </c>
      <c r="B5" s="306"/>
      <c r="C5" s="306"/>
      <c r="D5" s="306"/>
    </row>
    <row r="6" spans="1:4" ht="12.75" customHeight="1" thickTop="1" x14ac:dyDescent="0.25">
      <c r="A6" s="30"/>
      <c r="B6" s="316" t="s">
        <v>370</v>
      </c>
      <c r="C6" s="316" t="s">
        <v>89</v>
      </c>
      <c r="D6" s="316" t="s">
        <v>63</v>
      </c>
    </row>
    <row r="7" spans="1:4" ht="24" customHeight="1" x14ac:dyDescent="0.25">
      <c r="A7" s="101" t="s">
        <v>32</v>
      </c>
      <c r="B7" s="317"/>
      <c r="C7" s="317"/>
      <c r="D7" s="317"/>
    </row>
    <row r="8" spans="1:4" ht="21.75" customHeight="1" x14ac:dyDescent="0.25">
      <c r="A8" s="102" t="s">
        <v>64</v>
      </c>
      <c r="B8" s="317"/>
      <c r="C8" s="317"/>
      <c r="D8" s="317"/>
    </row>
    <row r="9" spans="1:4" x14ac:dyDescent="0.25">
      <c r="A9" s="86" t="s">
        <v>65</v>
      </c>
      <c r="B9" s="89">
        <v>1287780</v>
      </c>
      <c r="C9" s="89">
        <v>2147066</v>
      </c>
      <c r="D9" s="89">
        <f t="shared" ref="D9:D14" si="0">C9-B9</f>
        <v>859286</v>
      </c>
    </row>
    <row r="10" spans="1:4" x14ac:dyDescent="0.25">
      <c r="A10" s="86" t="s">
        <v>66</v>
      </c>
      <c r="B10" s="89">
        <v>73570016</v>
      </c>
      <c r="C10" s="89">
        <v>165626767</v>
      </c>
      <c r="D10" s="89">
        <f t="shared" si="0"/>
        <v>92056751</v>
      </c>
    </row>
    <row r="11" spans="1:4" x14ac:dyDescent="0.25">
      <c r="A11" s="86" t="s">
        <v>67</v>
      </c>
      <c r="B11" s="104">
        <v>100824202</v>
      </c>
      <c r="C11" s="104">
        <v>181897110</v>
      </c>
      <c r="D11" s="89">
        <f t="shared" si="0"/>
        <v>81072908</v>
      </c>
    </row>
    <row r="12" spans="1:4" ht="18.75" customHeight="1" x14ac:dyDescent="0.25">
      <c r="A12" s="86" t="s">
        <v>68</v>
      </c>
      <c r="B12" s="89">
        <v>136565722</v>
      </c>
      <c r="C12" s="89">
        <v>186382387</v>
      </c>
      <c r="D12" s="89">
        <f t="shared" si="0"/>
        <v>49816665</v>
      </c>
    </row>
    <row r="13" spans="1:4" x14ac:dyDescent="0.25">
      <c r="A13" s="86" t="s">
        <v>355</v>
      </c>
      <c r="B13" s="89">
        <v>300000</v>
      </c>
      <c r="C13" s="89">
        <v>300000</v>
      </c>
      <c r="D13" s="89"/>
    </row>
    <row r="14" spans="1:4" ht="19.5" customHeight="1" x14ac:dyDescent="0.25">
      <c r="A14" s="102" t="s">
        <v>69</v>
      </c>
      <c r="B14" s="105">
        <f>SUM(B9:B13)</f>
        <v>312547720</v>
      </c>
      <c r="C14" s="105">
        <f>SUM(C9:C13)</f>
        <v>536353330</v>
      </c>
      <c r="D14" s="105">
        <f t="shared" si="0"/>
        <v>223805610</v>
      </c>
    </row>
    <row r="15" spans="1:4" x14ac:dyDescent="0.25">
      <c r="A15" s="24"/>
      <c r="B15" s="94"/>
      <c r="C15" s="94"/>
      <c r="D15" s="94"/>
    </row>
    <row r="16" spans="1:4" x14ac:dyDescent="0.25">
      <c r="A16" s="102" t="s">
        <v>70</v>
      </c>
      <c r="B16" s="89"/>
      <c r="C16" s="89"/>
      <c r="D16" s="89"/>
    </row>
    <row r="17" spans="1:4" ht="20.25" customHeight="1" x14ac:dyDescent="0.25">
      <c r="A17" s="86" t="s">
        <v>71</v>
      </c>
      <c r="B17" s="106">
        <v>616400000</v>
      </c>
      <c r="C17" s="106">
        <v>890920000</v>
      </c>
      <c r="D17" s="90">
        <f>C17-B17</f>
        <v>274520000</v>
      </c>
    </row>
    <row r="18" spans="1:4" ht="22.5" customHeight="1" x14ac:dyDescent="0.25">
      <c r="A18" s="102" t="s">
        <v>72</v>
      </c>
      <c r="B18" s="93">
        <f>SUM(B17:B17)</f>
        <v>616400000</v>
      </c>
      <c r="C18" s="93">
        <f>SUM(C17:C17)</f>
        <v>890920000</v>
      </c>
      <c r="D18" s="93">
        <f t="shared" ref="D18:D19" si="1">C18-B18</f>
        <v>274520000</v>
      </c>
    </row>
    <row r="19" spans="1:4" ht="23.25" customHeight="1" x14ac:dyDescent="0.25">
      <c r="A19" s="19" t="s">
        <v>73</v>
      </c>
      <c r="B19" s="12">
        <f>B14+B18</f>
        <v>928947720</v>
      </c>
      <c r="C19" s="12">
        <f>C14+C18</f>
        <v>1427273330</v>
      </c>
      <c r="D19" s="12">
        <f t="shared" si="1"/>
        <v>498325610</v>
      </c>
    </row>
    <row r="20" spans="1:4" ht="16.5" customHeight="1" x14ac:dyDescent="0.25">
      <c r="A20" s="102" t="s">
        <v>74</v>
      </c>
      <c r="B20" s="89"/>
      <c r="C20" s="89"/>
      <c r="D20" s="89"/>
    </row>
    <row r="21" spans="1:4" x14ac:dyDescent="0.25">
      <c r="A21" s="102" t="s">
        <v>75</v>
      </c>
      <c r="B21" s="89"/>
      <c r="C21" s="89"/>
      <c r="D21" s="89"/>
    </row>
    <row r="22" spans="1:4" x14ac:dyDescent="0.25">
      <c r="A22" s="86" t="s">
        <v>76</v>
      </c>
      <c r="B22" s="89">
        <v>583457625</v>
      </c>
      <c r="C22" s="89">
        <v>619928494</v>
      </c>
      <c r="D22" s="89">
        <f t="shared" ref="D22:D24" si="2">C22-B22</f>
        <v>36470869</v>
      </c>
    </row>
    <row r="23" spans="1:4" x14ac:dyDescent="0.25">
      <c r="A23" s="86" t="s">
        <v>77</v>
      </c>
      <c r="B23" s="89">
        <v>34843000</v>
      </c>
      <c r="C23" s="89">
        <v>28870000</v>
      </c>
      <c r="D23" s="89">
        <f t="shared" si="2"/>
        <v>-5973000</v>
      </c>
    </row>
    <row r="24" spans="1:4" x14ac:dyDescent="0.25">
      <c r="A24" s="86" t="s">
        <v>353</v>
      </c>
      <c r="B24" s="90">
        <v>0</v>
      </c>
      <c r="C24" s="90">
        <v>9835831</v>
      </c>
      <c r="D24" s="90">
        <f t="shared" si="2"/>
        <v>9835831</v>
      </c>
    </row>
    <row r="25" spans="1:4" x14ac:dyDescent="0.25">
      <c r="A25" s="102" t="s">
        <v>78</v>
      </c>
      <c r="B25" s="105">
        <f>SUM(B22:B24)</f>
        <v>618300625</v>
      </c>
      <c r="C25" s="105">
        <f>SUM(C22:C24)</f>
        <v>658634325</v>
      </c>
      <c r="D25" s="105">
        <f>SUM(D22:D24)</f>
        <v>40333700</v>
      </c>
    </row>
    <row r="26" spans="1:4" ht="21.75" customHeight="1" x14ac:dyDescent="0.25">
      <c r="A26" s="24"/>
      <c r="B26" s="94"/>
      <c r="C26" s="94"/>
      <c r="D26" s="94"/>
    </row>
    <row r="27" spans="1:4" ht="12" customHeight="1" x14ac:dyDescent="0.25">
      <c r="A27" s="102" t="s">
        <v>79</v>
      </c>
      <c r="B27" s="89"/>
      <c r="C27" s="89"/>
      <c r="D27" s="89"/>
    </row>
    <row r="28" spans="1:4" ht="20.25" customHeight="1" x14ac:dyDescent="0.25">
      <c r="A28" s="86" t="s">
        <v>80</v>
      </c>
      <c r="B28" s="89">
        <v>615700000</v>
      </c>
      <c r="C28" s="89">
        <v>673477431</v>
      </c>
      <c r="D28" s="89">
        <f>C28-B28</f>
        <v>57777431</v>
      </c>
    </row>
    <row r="29" spans="1:4" x14ac:dyDescent="0.25">
      <c r="A29" s="86" t="s">
        <v>81</v>
      </c>
      <c r="B29" s="89">
        <v>0</v>
      </c>
      <c r="C29" s="89">
        <v>0</v>
      </c>
      <c r="D29" s="89">
        <f>C29-B29</f>
        <v>0</v>
      </c>
    </row>
    <row r="30" spans="1:4" x14ac:dyDescent="0.25">
      <c r="A30" s="102" t="s">
        <v>82</v>
      </c>
      <c r="B30" s="93">
        <f>SUM(B28:B29)</f>
        <v>615700000</v>
      </c>
      <c r="C30" s="93">
        <f>SUM(C28:C29)</f>
        <v>673477431</v>
      </c>
      <c r="D30" s="93">
        <f>C30-B30</f>
        <v>57777431</v>
      </c>
    </row>
    <row r="31" spans="1:4" ht="21.75" customHeight="1" x14ac:dyDescent="0.25">
      <c r="A31" s="19" t="s">
        <v>83</v>
      </c>
      <c r="B31" s="12">
        <f>B25+B30</f>
        <v>1234000625</v>
      </c>
      <c r="C31" s="12">
        <f>C25+C30</f>
        <v>1332111756</v>
      </c>
      <c r="D31" s="12">
        <f>C31-B31</f>
        <v>98111131</v>
      </c>
    </row>
    <row r="32" spans="1:4" ht="24" customHeight="1" x14ac:dyDescent="0.25">
      <c r="A32" s="103"/>
      <c r="B32" s="107"/>
      <c r="C32" s="107"/>
      <c r="D32" s="107"/>
    </row>
    <row r="33" spans="1:4" x14ac:dyDescent="0.25">
      <c r="A33" s="102" t="s">
        <v>48</v>
      </c>
      <c r="B33" s="89"/>
      <c r="C33" s="89"/>
      <c r="D33" s="89"/>
    </row>
    <row r="34" spans="1:4" ht="15.75" customHeight="1" x14ac:dyDescent="0.25">
      <c r="A34" s="86" t="s">
        <v>84</v>
      </c>
      <c r="B34" s="104">
        <v>5000000</v>
      </c>
      <c r="C34" s="104">
        <v>5000000</v>
      </c>
      <c r="D34" s="89">
        <f t="shared" ref="D34:D38" si="3">C34-B34</f>
        <v>0</v>
      </c>
    </row>
    <row r="35" spans="1:4" x14ac:dyDescent="0.25">
      <c r="A35" s="86" t="s">
        <v>85</v>
      </c>
      <c r="B35" s="89">
        <v>73188324</v>
      </c>
      <c r="C35" s="89">
        <v>0</v>
      </c>
      <c r="D35" s="89">
        <f t="shared" si="3"/>
        <v>-73188324</v>
      </c>
    </row>
    <row r="36" spans="1:4" x14ac:dyDescent="0.25">
      <c r="A36" s="86" t="s">
        <v>86</v>
      </c>
      <c r="B36" s="108">
        <v>-383241229</v>
      </c>
      <c r="C36" s="108">
        <v>90161574</v>
      </c>
      <c r="D36" s="89">
        <f t="shared" si="3"/>
        <v>473402803</v>
      </c>
    </row>
    <row r="37" spans="1:4" x14ac:dyDescent="0.25">
      <c r="A37" s="102" t="s">
        <v>87</v>
      </c>
      <c r="B37" s="93">
        <f>SUM(B34:B36)</f>
        <v>-305052905</v>
      </c>
      <c r="C37" s="93">
        <f>SUM(C34:C36)</f>
        <v>95161574</v>
      </c>
      <c r="D37" s="93">
        <f t="shared" si="3"/>
        <v>400214479</v>
      </c>
    </row>
    <row r="38" spans="1:4" ht="21" customHeight="1" thickBot="1" x14ac:dyDescent="0.3">
      <c r="A38" s="19" t="s">
        <v>88</v>
      </c>
      <c r="B38" s="109">
        <f>B31+B37</f>
        <v>928947720</v>
      </c>
      <c r="C38" s="109">
        <f>C31+C37</f>
        <v>1427273330</v>
      </c>
      <c r="D38" s="109">
        <f t="shared" si="3"/>
        <v>498325610</v>
      </c>
    </row>
    <row r="39" spans="1:4" ht="23.25" customHeight="1" thickTop="1" thickBot="1" x14ac:dyDescent="0.3">
      <c r="A39" s="19" t="s">
        <v>88</v>
      </c>
      <c r="B39" s="109">
        <f>B32+B38</f>
        <v>928947720</v>
      </c>
      <c r="C39" s="109">
        <f>C32+C38</f>
        <v>1427273330</v>
      </c>
      <c r="D39" s="109">
        <f>D32+D38</f>
        <v>498325610</v>
      </c>
    </row>
    <row r="40" spans="1:4" ht="15.75" thickTop="1" x14ac:dyDescent="0.25">
      <c r="A40" s="40"/>
      <c r="B40" s="41"/>
      <c r="C40" s="41"/>
      <c r="D40" s="44"/>
    </row>
    <row r="41" spans="1:4" x14ac:dyDescent="0.25">
      <c r="A41" s="28"/>
      <c r="B41" s="42"/>
      <c r="C41" s="42"/>
      <c r="D41" s="43"/>
    </row>
    <row r="42" spans="1:4" x14ac:dyDescent="0.25">
      <c r="A42" s="28"/>
      <c r="B42" s="42"/>
      <c r="C42" s="42"/>
      <c r="D42" s="43"/>
    </row>
    <row r="43" spans="1:4" x14ac:dyDescent="0.25">
      <c r="A43" s="28"/>
      <c r="B43" s="42"/>
      <c r="C43" s="42"/>
      <c r="D43" s="43"/>
    </row>
    <row r="44" spans="1:4" x14ac:dyDescent="0.25">
      <c r="A44" s="28"/>
      <c r="B44" s="42"/>
      <c r="C44" s="42"/>
      <c r="D44" s="43"/>
    </row>
    <row r="45" spans="1:4" x14ac:dyDescent="0.25">
      <c r="A45" s="28"/>
      <c r="B45" s="42"/>
      <c r="C45" s="42"/>
      <c r="D45" s="43"/>
    </row>
    <row r="46" spans="1:4" x14ac:dyDescent="0.25">
      <c r="A46" s="28"/>
      <c r="B46" s="42"/>
      <c r="C46" s="42"/>
      <c r="D46" s="43"/>
    </row>
    <row r="47" spans="1:4" x14ac:dyDescent="0.25">
      <c r="A47" s="28"/>
      <c r="B47" s="42"/>
      <c r="C47" s="42"/>
      <c r="D47" s="43"/>
    </row>
    <row r="48" spans="1:4" x14ac:dyDescent="0.25">
      <c r="A48" s="24"/>
    </row>
    <row r="49" spans="1:4" x14ac:dyDescent="0.25">
      <c r="A49" s="86"/>
      <c r="B49" s="313"/>
      <c r="C49" s="313"/>
      <c r="D49" s="313"/>
    </row>
    <row r="50" spans="1:4" x14ac:dyDescent="0.25">
      <c r="A50" s="45"/>
      <c r="B50" s="318"/>
      <c r="C50" s="318"/>
      <c r="D50" s="318"/>
    </row>
  </sheetData>
  <mergeCells count="9">
    <mergeCell ref="B49:D49"/>
    <mergeCell ref="B50:D50"/>
    <mergeCell ref="A2:D2"/>
    <mergeCell ref="A3:D3"/>
    <mergeCell ref="A4:D4"/>
    <mergeCell ref="A5:D5"/>
    <mergeCell ref="B6:B8"/>
    <mergeCell ref="C6:C8"/>
    <mergeCell ref="D6:D8"/>
  </mergeCells>
  <pageMargins left="0.9055118110236221" right="0.70866141732283472" top="1.5354330708661419" bottom="0.74803149606299213" header="0.31496062992125984" footer="0.31496062992125984"/>
  <pageSetup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A879-29B0-49B1-B461-7FD621D05226}">
  <sheetPr>
    <pageSetUpPr fitToPage="1"/>
  </sheetPr>
  <dimension ref="A1:G26"/>
  <sheetViews>
    <sheetView topLeftCell="A17" workbookViewId="0">
      <selection activeCell="A22" sqref="A22"/>
    </sheetView>
  </sheetViews>
  <sheetFormatPr baseColWidth="10" defaultRowHeight="15" x14ac:dyDescent="0.25"/>
  <cols>
    <col min="1" max="1" width="31.85546875" customWidth="1"/>
    <col min="2" max="2" width="13.28515625" customWidth="1"/>
    <col min="3" max="3" width="13.7109375" customWidth="1"/>
    <col min="4" max="4" width="13.5703125" customWidth="1"/>
    <col min="5" max="5" width="12.85546875" customWidth="1"/>
    <col min="6" max="6" width="13.85546875" customWidth="1"/>
    <col min="7" max="7" width="13.140625" customWidth="1"/>
  </cols>
  <sheetData>
    <row r="1" spans="1:7" ht="15.75" thickBot="1" x14ac:dyDescent="0.3">
      <c r="A1" s="29"/>
      <c r="B1" s="29"/>
      <c r="C1" s="29"/>
      <c r="D1" s="29"/>
      <c r="E1" s="29"/>
      <c r="F1" s="29"/>
      <c r="G1" s="29"/>
    </row>
    <row r="2" spans="1:7" ht="17.25" customHeight="1" thickTop="1" x14ac:dyDescent="0.25">
      <c r="A2" s="315" t="s">
        <v>252</v>
      </c>
      <c r="B2" s="315"/>
      <c r="C2" s="315"/>
      <c r="D2" s="315"/>
      <c r="E2" s="315"/>
      <c r="F2" s="315"/>
      <c r="G2" s="315"/>
    </row>
    <row r="3" spans="1:7" ht="17.25" customHeight="1" x14ac:dyDescent="0.25">
      <c r="A3" s="305" t="s">
        <v>253</v>
      </c>
      <c r="B3" s="305"/>
      <c r="C3" s="305"/>
      <c r="D3" s="305"/>
      <c r="E3" s="305"/>
      <c r="F3" s="305"/>
      <c r="G3" s="305"/>
    </row>
    <row r="4" spans="1:7" ht="17.25" customHeight="1" x14ac:dyDescent="0.25">
      <c r="A4" s="305" t="s">
        <v>90</v>
      </c>
      <c r="B4" s="305"/>
      <c r="C4" s="305"/>
      <c r="D4" s="305"/>
      <c r="E4" s="305"/>
      <c r="F4" s="305"/>
      <c r="G4" s="305"/>
    </row>
    <row r="5" spans="1:7" ht="15.75" thickBot="1" x14ac:dyDescent="0.3">
      <c r="A5" s="306" t="s">
        <v>91</v>
      </c>
      <c r="B5" s="306"/>
      <c r="C5" s="306"/>
      <c r="D5" s="306"/>
      <c r="E5" s="306"/>
      <c r="F5" s="306"/>
      <c r="G5" s="306"/>
    </row>
    <row r="6" spans="1:7" ht="31.5" customHeight="1" thickTop="1" thickBot="1" x14ac:dyDescent="0.3">
      <c r="A6" s="151" t="s">
        <v>92</v>
      </c>
      <c r="B6" s="126" t="s">
        <v>93</v>
      </c>
      <c r="C6" s="126" t="s">
        <v>94</v>
      </c>
      <c r="D6" s="126" t="s">
        <v>95</v>
      </c>
      <c r="E6" s="126" t="s">
        <v>96</v>
      </c>
      <c r="F6" s="126" t="s">
        <v>97</v>
      </c>
      <c r="G6" s="126" t="s">
        <v>51</v>
      </c>
    </row>
    <row r="7" spans="1:7" ht="19.5" customHeight="1" thickTop="1" x14ac:dyDescent="0.25">
      <c r="A7" s="152" t="s">
        <v>98</v>
      </c>
      <c r="B7" s="4"/>
      <c r="C7" s="4"/>
      <c r="D7" s="4"/>
      <c r="E7" s="4"/>
      <c r="F7" s="4"/>
      <c r="G7" s="4"/>
    </row>
    <row r="8" spans="1:7" ht="18" customHeight="1" x14ac:dyDescent="0.25">
      <c r="A8" s="127" t="s">
        <v>99</v>
      </c>
      <c r="B8" s="110">
        <v>0</v>
      </c>
      <c r="C8" s="128"/>
      <c r="D8" s="110">
        <v>0</v>
      </c>
      <c r="E8" s="113">
        <v>0</v>
      </c>
      <c r="F8" s="113">
        <v>0</v>
      </c>
      <c r="G8" s="110">
        <v>1000000</v>
      </c>
    </row>
    <row r="9" spans="1:7" ht="18.75" customHeight="1" x14ac:dyDescent="0.25">
      <c r="A9" s="129" t="s">
        <v>100</v>
      </c>
      <c r="B9" s="110">
        <v>5000000</v>
      </c>
      <c r="C9" s="111"/>
      <c r="D9" s="112"/>
      <c r="E9" s="113"/>
      <c r="F9" s="113"/>
      <c r="G9" s="112"/>
    </row>
    <row r="10" spans="1:7" ht="18" customHeight="1" x14ac:dyDescent="0.25">
      <c r="A10" s="131" t="s">
        <v>101</v>
      </c>
      <c r="B10" s="111" t="s">
        <v>102</v>
      </c>
      <c r="C10" s="111" t="s">
        <v>102</v>
      </c>
      <c r="D10" s="98">
        <v>109085000</v>
      </c>
      <c r="E10" s="113" t="s">
        <v>102</v>
      </c>
      <c r="F10" s="113"/>
      <c r="G10" s="114"/>
    </row>
    <row r="11" spans="1:7" ht="19.5" customHeight="1" x14ac:dyDescent="0.25">
      <c r="A11" s="131" t="s">
        <v>103</v>
      </c>
      <c r="B11" s="115" t="s">
        <v>102</v>
      </c>
      <c r="C11" s="115"/>
      <c r="D11" s="115"/>
      <c r="E11" s="116"/>
      <c r="F11" s="116">
        <v>0</v>
      </c>
      <c r="G11" s="115"/>
    </row>
    <row r="12" spans="1:7" ht="23.25" customHeight="1" thickBot="1" x14ac:dyDescent="0.3">
      <c r="A12" s="153" t="s">
        <v>104</v>
      </c>
      <c r="B12" s="117">
        <f>SUM(B8:B11)</f>
        <v>5000000</v>
      </c>
      <c r="C12" s="117">
        <f>SUM(C8:C11)</f>
        <v>0</v>
      </c>
      <c r="D12" s="117">
        <f>SUM(D8:D11)</f>
        <v>109085000</v>
      </c>
      <c r="E12" s="117">
        <f>SUM(E8:E11)</f>
        <v>0</v>
      </c>
      <c r="F12" s="117">
        <f>SUM(F8:F11)</f>
        <v>0</v>
      </c>
      <c r="G12" s="118">
        <f>SUM(B12:F12)</f>
        <v>114085000</v>
      </c>
    </row>
    <row r="13" spans="1:7" ht="21" customHeight="1" thickTop="1" x14ac:dyDescent="0.25">
      <c r="A13" s="152" t="s">
        <v>105</v>
      </c>
      <c r="B13" s="119"/>
      <c r="C13" s="119"/>
      <c r="D13" s="119"/>
      <c r="E13" s="119"/>
      <c r="F13" s="119"/>
      <c r="G13" s="120"/>
    </row>
    <row r="14" spans="1:7" ht="22.5" customHeight="1" x14ac:dyDescent="0.25">
      <c r="A14" s="127" t="s">
        <v>99</v>
      </c>
      <c r="B14" s="98">
        <v>0</v>
      </c>
      <c r="C14" s="121">
        <v>0</v>
      </c>
      <c r="D14" s="121">
        <v>0</v>
      </c>
      <c r="E14" s="122"/>
      <c r="F14" s="122">
        <v>0</v>
      </c>
      <c r="G14" s="123">
        <f>SUM(G12)</f>
        <v>114085000</v>
      </c>
    </row>
    <row r="15" spans="1:7" x14ac:dyDescent="0.25">
      <c r="A15" s="129" t="s">
        <v>100</v>
      </c>
      <c r="B15" s="98">
        <v>5000000</v>
      </c>
      <c r="C15" s="124"/>
      <c r="D15" s="124"/>
      <c r="E15" s="122"/>
      <c r="F15" s="122"/>
      <c r="G15" s="125"/>
    </row>
    <row r="16" spans="1:7" ht="15.95" customHeight="1" x14ac:dyDescent="0.25">
      <c r="A16" s="131" t="s">
        <v>101</v>
      </c>
      <c r="B16" s="111" t="s">
        <v>102</v>
      </c>
      <c r="C16" s="111" t="s">
        <v>102</v>
      </c>
      <c r="D16" s="98">
        <v>120217752</v>
      </c>
      <c r="E16" s="113" t="s">
        <v>102</v>
      </c>
      <c r="F16" s="113"/>
      <c r="G16" s="114"/>
    </row>
    <row r="17" spans="1:7" x14ac:dyDescent="0.25">
      <c r="A17" s="131" t="s">
        <v>103</v>
      </c>
      <c r="B17" s="115"/>
      <c r="C17" s="115"/>
      <c r="D17" s="115"/>
      <c r="E17" s="116"/>
      <c r="F17" s="116">
        <v>0</v>
      </c>
      <c r="G17" s="115"/>
    </row>
    <row r="18" spans="1:7" ht="24.75" customHeight="1" thickBot="1" x14ac:dyDescent="0.3">
      <c r="A18" s="154" t="s">
        <v>106</v>
      </c>
      <c r="B18" s="117">
        <f>SUM(B14:B17)</f>
        <v>5000000</v>
      </c>
      <c r="C18" s="117">
        <f>SUM(C14:C17)</f>
        <v>0</v>
      </c>
      <c r="D18" s="117">
        <f>SUM(D14:D17)</f>
        <v>120217752</v>
      </c>
      <c r="E18" s="117">
        <f>SUM(E14:E17)</f>
        <v>0</v>
      </c>
      <c r="F18" s="117">
        <f>SUM(F14:F17)</f>
        <v>0</v>
      </c>
      <c r="G18" s="118">
        <f>SUM(B18:F18)</f>
        <v>125217752</v>
      </c>
    </row>
    <row r="19" spans="1:7" ht="15.75" thickTop="1" x14ac:dyDescent="0.25">
      <c r="A19" s="40"/>
      <c r="B19" s="46"/>
      <c r="C19" s="46"/>
      <c r="D19" s="46"/>
      <c r="E19" s="46"/>
      <c r="F19" s="46"/>
      <c r="G19" s="41"/>
    </row>
    <row r="20" spans="1:7" x14ac:dyDescent="0.25">
      <c r="A20" s="40"/>
      <c r="B20" s="46"/>
      <c r="C20" s="46"/>
      <c r="D20" s="46"/>
      <c r="E20" s="46"/>
      <c r="F20" s="46"/>
      <c r="G20" s="41"/>
    </row>
    <row r="21" spans="1:7" x14ac:dyDescent="0.25">
      <c r="A21" s="40"/>
      <c r="B21" s="46"/>
      <c r="C21" s="46"/>
      <c r="D21" s="46"/>
      <c r="E21" s="46"/>
      <c r="F21" s="46"/>
      <c r="G21" s="41"/>
    </row>
    <row r="22" spans="1:7" x14ac:dyDescent="0.25">
      <c r="A22" s="40"/>
      <c r="B22" s="46"/>
      <c r="C22" s="46"/>
      <c r="D22" s="46"/>
      <c r="E22" s="46"/>
      <c r="F22" s="46"/>
      <c r="G22" s="41"/>
    </row>
    <row r="23" spans="1:7" x14ac:dyDescent="0.25">
      <c r="A23" s="40"/>
      <c r="B23" s="46"/>
      <c r="C23" s="46"/>
      <c r="D23" s="46"/>
      <c r="E23" s="46"/>
      <c r="F23" s="46"/>
      <c r="G23" s="41"/>
    </row>
    <row r="24" spans="1:7" x14ac:dyDescent="0.25">
      <c r="A24" s="24"/>
      <c r="B24" s="46"/>
      <c r="C24" s="46"/>
      <c r="D24" s="46"/>
      <c r="E24" s="46"/>
      <c r="F24" s="46"/>
      <c r="G24" s="41"/>
    </row>
    <row r="25" spans="1:7" x14ac:dyDescent="0.25">
      <c r="A25" s="86"/>
      <c r="B25" s="47"/>
      <c r="C25" s="47"/>
      <c r="D25" s="313"/>
      <c r="E25" s="313"/>
      <c r="F25" s="313"/>
      <c r="G25" s="41"/>
    </row>
    <row r="26" spans="1:7" x14ac:dyDescent="0.25">
      <c r="A26" s="45"/>
      <c r="B26" s="48"/>
      <c r="C26" s="48"/>
      <c r="D26" s="313"/>
      <c r="E26" s="313"/>
      <c r="F26" s="313"/>
      <c r="G26" s="41"/>
    </row>
  </sheetData>
  <mergeCells count="6">
    <mergeCell ref="D26:F26"/>
    <mergeCell ref="A2:G2"/>
    <mergeCell ref="A3:G3"/>
    <mergeCell ref="A4:G4"/>
    <mergeCell ref="A5:G5"/>
    <mergeCell ref="D25:F25"/>
  </mergeCells>
  <pageMargins left="1.4960629921259843" right="1.4960629921259843" top="1.3385826771653544" bottom="0.74803149606299213" header="0.31496062992125984"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1C60-EB50-4FC6-B452-0C7B1364CCD3}">
  <sheetPr>
    <pageSetUpPr fitToPage="1"/>
  </sheetPr>
  <dimension ref="A1:G26"/>
  <sheetViews>
    <sheetView topLeftCell="A6" workbookViewId="0">
      <selection activeCell="B21" sqref="B21"/>
    </sheetView>
  </sheetViews>
  <sheetFormatPr baseColWidth="10" defaultRowHeight="15" x14ac:dyDescent="0.25"/>
  <cols>
    <col min="1" max="1" width="31.85546875" customWidth="1"/>
    <col min="2" max="2" width="13.28515625" customWidth="1"/>
    <col min="3" max="3" width="13.7109375" customWidth="1"/>
    <col min="4" max="4" width="13.5703125" customWidth="1"/>
    <col min="5" max="5" width="12.85546875" customWidth="1"/>
    <col min="6" max="6" width="13.85546875" customWidth="1"/>
    <col min="7" max="7" width="13.140625" customWidth="1"/>
  </cols>
  <sheetData>
    <row r="1" spans="1:7" ht="15.75" thickBot="1" x14ac:dyDescent="0.3">
      <c r="A1" s="29"/>
      <c r="B1" s="29"/>
      <c r="C1" s="29"/>
      <c r="D1" s="29"/>
      <c r="E1" s="29"/>
      <c r="F1" s="29"/>
      <c r="G1" s="29"/>
    </row>
    <row r="2" spans="1:7" ht="18.75" customHeight="1" thickTop="1" x14ac:dyDescent="0.25">
      <c r="A2" s="315" t="s">
        <v>252</v>
      </c>
      <c r="B2" s="315"/>
      <c r="C2" s="315"/>
      <c r="D2" s="315"/>
      <c r="E2" s="315"/>
      <c r="F2" s="315"/>
      <c r="G2" s="315"/>
    </row>
    <row r="3" spans="1:7" ht="15" customHeight="1" x14ac:dyDescent="0.25">
      <c r="A3" s="305" t="s">
        <v>253</v>
      </c>
      <c r="B3" s="305"/>
      <c r="C3" s="305"/>
      <c r="D3" s="305"/>
      <c r="E3" s="305"/>
      <c r="F3" s="305"/>
      <c r="G3" s="305"/>
    </row>
    <row r="4" spans="1:7" ht="17.25" customHeight="1" x14ac:dyDescent="0.25">
      <c r="A4" s="305" t="s">
        <v>90</v>
      </c>
      <c r="B4" s="305"/>
      <c r="C4" s="305"/>
      <c r="D4" s="305"/>
      <c r="E4" s="305"/>
      <c r="F4" s="305"/>
      <c r="G4" s="305"/>
    </row>
    <row r="5" spans="1:7" ht="18" customHeight="1" thickBot="1" x14ac:dyDescent="0.3">
      <c r="A5" s="306" t="s">
        <v>201</v>
      </c>
      <c r="B5" s="306"/>
      <c r="C5" s="306"/>
      <c r="D5" s="306"/>
      <c r="E5" s="306"/>
      <c r="F5" s="306"/>
      <c r="G5" s="306"/>
    </row>
    <row r="6" spans="1:7" ht="28.5" customHeight="1" thickTop="1" thickBot="1" x14ac:dyDescent="0.3">
      <c r="A6" s="99" t="s">
        <v>92</v>
      </c>
      <c r="B6" s="126" t="s">
        <v>93</v>
      </c>
      <c r="C6" s="126" t="s">
        <v>94</v>
      </c>
      <c r="D6" s="126" t="s">
        <v>95</v>
      </c>
      <c r="E6" s="126" t="s">
        <v>96</v>
      </c>
      <c r="F6" s="126" t="s">
        <v>97</v>
      </c>
      <c r="G6" s="126" t="s">
        <v>51</v>
      </c>
    </row>
    <row r="7" spans="1:7" ht="22.5" customHeight="1" thickTop="1" x14ac:dyDescent="0.25">
      <c r="A7" s="133" t="s">
        <v>105</v>
      </c>
      <c r="B7" s="119"/>
      <c r="C7" s="119"/>
      <c r="D7" s="119"/>
      <c r="E7" s="119"/>
      <c r="F7" s="119"/>
      <c r="G7" s="120"/>
    </row>
    <row r="8" spans="1:7" ht="18" customHeight="1" x14ac:dyDescent="0.25">
      <c r="A8" s="127" t="s">
        <v>99</v>
      </c>
      <c r="B8" s="98">
        <v>0</v>
      </c>
      <c r="C8" s="121">
        <v>0</v>
      </c>
      <c r="D8" s="121">
        <v>0</v>
      </c>
      <c r="E8" s="122"/>
      <c r="F8" s="122">
        <v>0</v>
      </c>
      <c r="G8" s="123">
        <v>13921000</v>
      </c>
    </row>
    <row r="9" spans="1:7" ht="18.75" customHeight="1" x14ac:dyDescent="0.25">
      <c r="A9" s="129" t="s">
        <v>100</v>
      </c>
      <c r="B9" s="98">
        <v>5000000</v>
      </c>
      <c r="C9" s="124"/>
      <c r="D9" s="124"/>
      <c r="E9" s="122"/>
      <c r="F9" s="122"/>
      <c r="G9" s="125"/>
    </row>
    <row r="10" spans="1:7" ht="18" customHeight="1" x14ac:dyDescent="0.25">
      <c r="A10" s="130" t="s">
        <v>101</v>
      </c>
      <c r="B10" s="111" t="s">
        <v>102</v>
      </c>
      <c r="C10" s="111" t="s">
        <v>102</v>
      </c>
      <c r="D10" s="98">
        <v>120217752</v>
      </c>
      <c r="E10" s="113" t="s">
        <v>102</v>
      </c>
      <c r="F10" s="113"/>
      <c r="G10" s="114"/>
    </row>
    <row r="11" spans="1:7" ht="20.25" customHeight="1" x14ac:dyDescent="0.25">
      <c r="A11" s="131" t="s">
        <v>103</v>
      </c>
      <c r="B11" s="115"/>
      <c r="C11" s="115"/>
      <c r="D11" s="115"/>
      <c r="E11" s="116"/>
      <c r="F11" s="116">
        <v>0</v>
      </c>
      <c r="G11" s="115"/>
    </row>
    <row r="12" spans="1:7" ht="24" customHeight="1" thickBot="1" x14ac:dyDescent="0.3">
      <c r="A12" s="132" t="s">
        <v>106</v>
      </c>
      <c r="B12" s="117">
        <f>SUM(B8:B11)</f>
        <v>5000000</v>
      </c>
      <c r="C12" s="117">
        <f>SUM(C8:C11)</f>
        <v>0</v>
      </c>
      <c r="D12" s="117">
        <f>SUM(D8:D11)</f>
        <v>120217752</v>
      </c>
      <c r="E12" s="117">
        <f>SUM(E8:E11)</f>
        <v>0</v>
      </c>
      <c r="F12" s="117">
        <f>SUM(F8:F11)</f>
        <v>0</v>
      </c>
      <c r="G12" s="118">
        <f>SUM(B12:F12)</f>
        <v>125217752</v>
      </c>
    </row>
    <row r="13" spans="1:7" ht="21" customHeight="1" thickTop="1" x14ac:dyDescent="0.25">
      <c r="A13" s="133" t="s">
        <v>107</v>
      </c>
      <c r="B13" s="119"/>
      <c r="C13" s="119"/>
      <c r="D13" s="119"/>
      <c r="E13" s="119"/>
      <c r="F13" s="119"/>
      <c r="G13" s="120"/>
    </row>
    <row r="14" spans="1:7" ht="22.5" customHeight="1" x14ac:dyDescent="0.25">
      <c r="A14" s="127" t="s">
        <v>99</v>
      </c>
      <c r="B14" s="98">
        <v>0</v>
      </c>
      <c r="C14" s="121">
        <v>0</v>
      </c>
      <c r="D14" s="121">
        <v>0</v>
      </c>
      <c r="E14" s="122"/>
      <c r="F14" s="122">
        <v>0</v>
      </c>
      <c r="G14" s="123">
        <f>SUM(G12)</f>
        <v>125217752</v>
      </c>
    </row>
    <row r="15" spans="1:7" x14ac:dyDescent="0.25">
      <c r="A15" s="129" t="s">
        <v>100</v>
      </c>
      <c r="B15" s="98">
        <v>5000000</v>
      </c>
      <c r="C15" s="124"/>
      <c r="D15" s="124"/>
      <c r="E15" s="122"/>
      <c r="F15" s="122"/>
      <c r="G15" s="125"/>
    </row>
    <row r="16" spans="1:7" x14ac:dyDescent="0.25">
      <c r="A16" s="130" t="s">
        <v>101</v>
      </c>
      <c r="B16" s="111" t="s">
        <v>102</v>
      </c>
      <c r="C16" s="111" t="s">
        <v>102</v>
      </c>
      <c r="D16" s="98">
        <v>90161574</v>
      </c>
      <c r="E16" s="113" t="s">
        <v>102</v>
      </c>
      <c r="F16" s="113"/>
      <c r="G16" s="114"/>
    </row>
    <row r="17" spans="1:7" x14ac:dyDescent="0.25">
      <c r="A17" s="131" t="s">
        <v>103</v>
      </c>
      <c r="B17" s="115"/>
      <c r="C17" s="115"/>
      <c r="D17" s="115"/>
      <c r="E17" s="116"/>
      <c r="F17" s="116">
        <v>0</v>
      </c>
      <c r="G17" s="115"/>
    </row>
    <row r="18" spans="1:7" ht="23.25" customHeight="1" thickBot="1" x14ac:dyDescent="0.3">
      <c r="A18" s="132" t="s">
        <v>108</v>
      </c>
      <c r="B18" s="117">
        <f>SUM(B14:B17)</f>
        <v>5000000</v>
      </c>
      <c r="C18" s="117">
        <f>SUM(C14:C17)</f>
        <v>0</v>
      </c>
      <c r="D18" s="117">
        <f>SUM(D14:D17)</f>
        <v>90161574</v>
      </c>
      <c r="E18" s="117">
        <f>SUM(E14:E17)</f>
        <v>0</v>
      </c>
      <c r="F18" s="117">
        <f>SUM(F14:F17)</f>
        <v>0</v>
      </c>
      <c r="G18" s="118">
        <f>SUM(B18:F18)</f>
        <v>95161574</v>
      </c>
    </row>
    <row r="19" spans="1:7" ht="15.75" thickTop="1" x14ac:dyDescent="0.25">
      <c r="A19" s="40"/>
      <c r="B19" s="46"/>
      <c r="C19" s="46"/>
      <c r="D19" s="46"/>
      <c r="E19" s="46"/>
      <c r="F19" s="46"/>
      <c r="G19" s="41"/>
    </row>
    <row r="20" spans="1:7" x14ac:dyDescent="0.25">
      <c r="A20" s="40"/>
      <c r="B20" s="46"/>
      <c r="C20" s="46"/>
      <c r="D20" s="46"/>
      <c r="E20" s="46"/>
      <c r="F20" s="46"/>
      <c r="G20" s="41"/>
    </row>
    <row r="21" spans="1:7" x14ac:dyDescent="0.25">
      <c r="A21" s="40"/>
      <c r="B21" s="46"/>
      <c r="C21" s="46"/>
      <c r="D21" s="46"/>
      <c r="E21" s="46"/>
      <c r="F21" s="46"/>
      <c r="G21" s="41"/>
    </row>
    <row r="22" spans="1:7" x14ac:dyDescent="0.25">
      <c r="A22" s="40"/>
      <c r="B22" s="46"/>
      <c r="C22" s="46"/>
      <c r="D22" s="46"/>
      <c r="E22" s="46"/>
      <c r="F22" s="46"/>
      <c r="G22" s="41"/>
    </row>
    <row r="23" spans="1:7" x14ac:dyDescent="0.25">
      <c r="A23" s="40"/>
      <c r="B23" s="46"/>
      <c r="C23" s="46"/>
      <c r="D23" s="46"/>
      <c r="E23" s="46"/>
      <c r="F23" s="46"/>
      <c r="G23" s="41"/>
    </row>
    <row r="24" spans="1:7" x14ac:dyDescent="0.25">
      <c r="A24" s="24"/>
      <c r="B24" s="46"/>
      <c r="C24" s="46"/>
      <c r="D24" s="46"/>
      <c r="E24" s="46"/>
      <c r="F24" s="46"/>
      <c r="G24" s="41"/>
    </row>
    <row r="25" spans="1:7" x14ac:dyDescent="0.25">
      <c r="A25" s="86"/>
      <c r="B25" s="47"/>
      <c r="C25" s="47"/>
      <c r="D25" s="313"/>
      <c r="E25" s="313"/>
      <c r="F25" s="313"/>
      <c r="G25" s="41"/>
    </row>
    <row r="26" spans="1:7" x14ac:dyDescent="0.25">
      <c r="A26" s="45"/>
      <c r="B26" s="48"/>
      <c r="C26" s="48"/>
      <c r="D26" s="313"/>
      <c r="E26" s="313"/>
      <c r="F26" s="313"/>
      <c r="G26" s="41"/>
    </row>
  </sheetData>
  <mergeCells count="6">
    <mergeCell ref="D26:F26"/>
    <mergeCell ref="A2:G2"/>
    <mergeCell ref="A3:G3"/>
    <mergeCell ref="A4:G4"/>
    <mergeCell ref="A5:G5"/>
    <mergeCell ref="D25:F25"/>
  </mergeCells>
  <pageMargins left="1.4960629921259843" right="1.4960629921259843" top="1.3385826771653544" bottom="0.74803149606299213" header="0.31496062992125984" footer="0.31496062992125984"/>
  <pageSetup scale="9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4B14-2904-4738-970A-8C2AB9A7A258}">
  <sheetPr>
    <pageSetUpPr fitToPage="1"/>
  </sheetPr>
  <dimension ref="A1:G27"/>
  <sheetViews>
    <sheetView workbookViewId="0">
      <selection activeCell="A21" sqref="A21"/>
    </sheetView>
  </sheetViews>
  <sheetFormatPr baseColWidth="10" defaultRowHeight="15" x14ac:dyDescent="0.25"/>
  <cols>
    <col min="1" max="1" width="33.85546875" bestFit="1" customWidth="1"/>
    <col min="2" max="2" width="13.28515625" customWidth="1"/>
    <col min="3" max="3" width="13.7109375" customWidth="1"/>
    <col min="4" max="4" width="13.5703125" customWidth="1"/>
    <col min="5" max="5" width="12.85546875" customWidth="1"/>
    <col min="6" max="6" width="13.85546875" customWidth="1"/>
    <col min="7" max="7" width="13.140625" customWidth="1"/>
  </cols>
  <sheetData>
    <row r="1" spans="1:7" ht="15.75" thickBot="1" x14ac:dyDescent="0.3">
      <c r="A1" s="29"/>
      <c r="B1" s="29"/>
      <c r="C1" s="29"/>
      <c r="D1" s="29"/>
      <c r="E1" s="29"/>
      <c r="F1" s="29"/>
      <c r="G1" s="29"/>
    </row>
    <row r="2" spans="1:7" ht="19.5" customHeight="1" thickTop="1" x14ac:dyDescent="0.25">
      <c r="A2" s="315" t="s">
        <v>252</v>
      </c>
      <c r="B2" s="315"/>
      <c r="C2" s="315"/>
      <c r="D2" s="315"/>
      <c r="E2" s="315"/>
      <c r="F2" s="315"/>
      <c r="G2" s="315"/>
    </row>
    <row r="3" spans="1:7" ht="17.25" customHeight="1" x14ac:dyDescent="0.25">
      <c r="A3" s="305" t="s">
        <v>253</v>
      </c>
      <c r="B3" s="305"/>
      <c r="C3" s="305"/>
      <c r="D3" s="305"/>
      <c r="E3" s="305"/>
      <c r="F3" s="305"/>
      <c r="G3" s="305"/>
    </row>
    <row r="4" spans="1:7" ht="17.25" customHeight="1" x14ac:dyDescent="0.25">
      <c r="A4" s="305" t="s">
        <v>90</v>
      </c>
      <c r="B4" s="305"/>
      <c r="C4" s="305"/>
      <c r="D4" s="305"/>
      <c r="E4" s="305"/>
      <c r="F4" s="305"/>
      <c r="G4" s="305"/>
    </row>
    <row r="5" spans="1:7" ht="18.75" customHeight="1" thickBot="1" x14ac:dyDescent="0.3">
      <c r="A5" s="306" t="s">
        <v>202</v>
      </c>
      <c r="B5" s="306"/>
      <c r="C5" s="306"/>
      <c r="D5" s="306"/>
      <c r="E5" s="306"/>
      <c r="F5" s="306"/>
      <c r="G5" s="306"/>
    </row>
    <row r="6" spans="1:7" ht="26.25" customHeight="1" thickTop="1" thickBot="1" x14ac:dyDescent="0.3">
      <c r="A6" s="99" t="s">
        <v>92</v>
      </c>
      <c r="B6" s="126" t="s">
        <v>93</v>
      </c>
      <c r="C6" s="126" t="s">
        <v>94</v>
      </c>
      <c r="D6" s="126" t="s">
        <v>95</v>
      </c>
      <c r="E6" s="126" t="s">
        <v>96</v>
      </c>
      <c r="F6" s="126" t="s">
        <v>97</v>
      </c>
      <c r="G6" s="126" t="s">
        <v>51</v>
      </c>
    </row>
    <row r="7" spans="1:7" ht="21" customHeight="1" thickTop="1" x14ac:dyDescent="0.25">
      <c r="A7" s="133" t="s">
        <v>107</v>
      </c>
      <c r="B7" s="119"/>
      <c r="C7" s="119"/>
      <c r="D7" s="119"/>
      <c r="E7" s="119"/>
      <c r="F7" s="119"/>
      <c r="G7" s="120">
        <v>21160000</v>
      </c>
    </row>
    <row r="8" spans="1:7" ht="18" customHeight="1" x14ac:dyDescent="0.25">
      <c r="A8" s="127" t="s">
        <v>99</v>
      </c>
      <c r="B8" s="98">
        <v>0</v>
      </c>
      <c r="C8" s="121">
        <v>0</v>
      </c>
      <c r="D8" s="121">
        <v>0</v>
      </c>
      <c r="E8" s="122"/>
      <c r="F8" s="122">
        <v>0</v>
      </c>
      <c r="G8" s="123">
        <f>SUM(G6)</f>
        <v>0</v>
      </c>
    </row>
    <row r="9" spans="1:7" ht="18.75" customHeight="1" x14ac:dyDescent="0.25">
      <c r="A9" s="129" t="s">
        <v>100</v>
      </c>
      <c r="B9" s="98">
        <v>5000000</v>
      </c>
      <c r="C9" s="124"/>
      <c r="D9" s="124"/>
      <c r="E9" s="122"/>
      <c r="F9" s="122"/>
      <c r="G9" s="125"/>
    </row>
    <row r="10" spans="1:7" ht="18" customHeight="1" x14ac:dyDescent="0.25">
      <c r="A10" s="130" t="s">
        <v>101</v>
      </c>
      <c r="B10" s="111" t="s">
        <v>102</v>
      </c>
      <c r="C10" s="111" t="s">
        <v>102</v>
      </c>
      <c r="D10" s="98">
        <v>90161574</v>
      </c>
      <c r="E10" s="113" t="s">
        <v>102</v>
      </c>
      <c r="F10" s="113"/>
      <c r="G10" s="114"/>
    </row>
    <row r="11" spans="1:7" ht="19.5" customHeight="1" x14ac:dyDescent="0.25">
      <c r="A11" s="131" t="s">
        <v>103</v>
      </c>
      <c r="B11" s="115"/>
      <c r="C11" s="115"/>
      <c r="D11" s="115"/>
      <c r="E11" s="116"/>
      <c r="F11" s="116">
        <v>0</v>
      </c>
      <c r="G11" s="115"/>
    </row>
    <row r="12" spans="1:7" ht="24" customHeight="1" thickBot="1" x14ac:dyDescent="0.3">
      <c r="A12" s="132" t="s">
        <v>108</v>
      </c>
      <c r="B12" s="117">
        <f>SUM(B8:B11)</f>
        <v>5000000</v>
      </c>
      <c r="C12" s="117">
        <f>SUM(C8:C11)</f>
        <v>0</v>
      </c>
      <c r="D12" s="117">
        <f>SUM(D8:D11)</f>
        <v>90161574</v>
      </c>
      <c r="E12" s="117">
        <f>SUM(E8:E11)</f>
        <v>0</v>
      </c>
      <c r="F12" s="117">
        <f>SUM(F8:F11)</f>
        <v>0</v>
      </c>
      <c r="G12" s="118">
        <f>SUM(B12:F12)</f>
        <v>95161574</v>
      </c>
    </row>
    <row r="13" spans="1:7" ht="21" customHeight="1" thickTop="1" x14ac:dyDescent="0.25">
      <c r="A13" s="133" t="s">
        <v>372</v>
      </c>
      <c r="B13" s="119"/>
      <c r="C13" s="119"/>
      <c r="D13" s="119"/>
      <c r="E13" s="119"/>
      <c r="F13" s="119"/>
      <c r="G13" s="120"/>
    </row>
    <row r="14" spans="1:7" ht="22.5" customHeight="1" x14ac:dyDescent="0.25">
      <c r="A14" s="127" t="s">
        <v>99</v>
      </c>
      <c r="B14" s="98">
        <v>0</v>
      </c>
      <c r="C14" s="121">
        <v>0</v>
      </c>
      <c r="D14" s="121">
        <v>0</v>
      </c>
      <c r="E14" s="122"/>
      <c r="F14" s="122">
        <v>0</v>
      </c>
      <c r="G14" s="123">
        <f>SUM(G12)</f>
        <v>95161574</v>
      </c>
    </row>
    <row r="15" spans="1:7" x14ac:dyDescent="0.25">
      <c r="A15" s="129" t="s">
        <v>100</v>
      </c>
      <c r="B15" s="98">
        <v>5000000</v>
      </c>
      <c r="C15" s="124"/>
      <c r="D15" s="124"/>
      <c r="E15" s="122"/>
      <c r="F15" s="122"/>
      <c r="G15" s="125"/>
    </row>
    <row r="16" spans="1:7" x14ac:dyDescent="0.25">
      <c r="A16" s="130" t="s">
        <v>101</v>
      </c>
      <c r="B16" s="111" t="s">
        <v>102</v>
      </c>
      <c r="C16" s="111" t="s">
        <v>102</v>
      </c>
      <c r="D16" s="98">
        <v>73188324</v>
      </c>
      <c r="E16" s="113" t="s">
        <v>102</v>
      </c>
      <c r="F16" s="113"/>
      <c r="G16" s="114"/>
    </row>
    <row r="17" spans="1:7" x14ac:dyDescent="0.25">
      <c r="A17" s="131" t="s">
        <v>103</v>
      </c>
      <c r="B17" s="115"/>
      <c r="C17" s="115"/>
      <c r="D17" s="115"/>
      <c r="E17" s="116"/>
      <c r="F17" s="116">
        <v>-383241229</v>
      </c>
      <c r="G17" s="115"/>
    </row>
    <row r="18" spans="1:7" ht="25.5" customHeight="1" thickBot="1" x14ac:dyDescent="0.3">
      <c r="A18" s="132" t="s">
        <v>371</v>
      </c>
      <c r="B18" s="117">
        <f>SUM(B14:B17)</f>
        <v>5000000</v>
      </c>
      <c r="C18" s="117">
        <f>SUM(C14:C17)</f>
        <v>0</v>
      </c>
      <c r="D18" s="117">
        <f>SUM(D14:D17)</f>
        <v>73188324</v>
      </c>
      <c r="E18" s="117">
        <f>SUM(E14:E17)</f>
        <v>0</v>
      </c>
      <c r="F18" s="117">
        <f>SUM(F14:F17)</f>
        <v>-383241229</v>
      </c>
      <c r="G18" s="118">
        <f>SUM(B18:F18)</f>
        <v>-305052905</v>
      </c>
    </row>
    <row r="19" spans="1:7" ht="15.75" thickTop="1" x14ac:dyDescent="0.25">
      <c r="A19" s="40"/>
      <c r="B19" s="46"/>
      <c r="C19" s="46"/>
      <c r="D19" s="46"/>
      <c r="E19" s="46"/>
      <c r="F19" s="46"/>
      <c r="G19" s="41"/>
    </row>
    <row r="20" spans="1:7" x14ac:dyDescent="0.25">
      <c r="A20" s="40"/>
      <c r="B20" s="46"/>
      <c r="C20" s="46"/>
      <c r="D20" s="46"/>
      <c r="E20" s="46"/>
      <c r="F20" s="46"/>
      <c r="G20" s="41"/>
    </row>
    <row r="21" spans="1:7" x14ac:dyDescent="0.25">
      <c r="A21" s="40"/>
      <c r="B21" s="46"/>
      <c r="C21" s="46"/>
      <c r="D21" s="46"/>
      <c r="E21" s="46"/>
      <c r="F21" s="46"/>
      <c r="G21" s="41"/>
    </row>
    <row r="22" spans="1:7" x14ac:dyDescent="0.25">
      <c r="A22" s="40"/>
      <c r="B22" s="46"/>
      <c r="C22" s="46"/>
      <c r="D22" s="46"/>
      <c r="E22" s="46"/>
      <c r="F22" s="46"/>
      <c r="G22" s="41"/>
    </row>
    <row r="23" spans="1:7" x14ac:dyDescent="0.25">
      <c r="A23" s="40"/>
      <c r="B23" s="46"/>
      <c r="C23" s="46"/>
      <c r="D23" s="46"/>
      <c r="E23" s="46"/>
      <c r="F23" s="46"/>
      <c r="G23" s="41"/>
    </row>
    <row r="24" spans="1:7" x14ac:dyDescent="0.25">
      <c r="A24" s="40"/>
      <c r="B24" s="46"/>
      <c r="C24" s="46"/>
      <c r="D24" s="46"/>
      <c r="E24" s="46"/>
      <c r="F24" s="46"/>
      <c r="G24" s="41"/>
    </row>
    <row r="25" spans="1:7" x14ac:dyDescent="0.25">
      <c r="A25" s="40"/>
      <c r="B25" s="46"/>
      <c r="C25" s="46"/>
      <c r="D25" s="46"/>
      <c r="E25" s="46"/>
      <c r="F25" s="46"/>
      <c r="G25" s="41"/>
    </row>
    <row r="26" spans="1:7" x14ac:dyDescent="0.25">
      <c r="A26" s="24"/>
      <c r="B26" s="47"/>
      <c r="C26" s="47"/>
      <c r="D26" s="313"/>
      <c r="E26" s="313"/>
      <c r="F26" s="313"/>
      <c r="G26" s="41"/>
    </row>
    <row r="27" spans="1:7" x14ac:dyDescent="0.25">
      <c r="A27" s="86"/>
      <c r="B27" s="48"/>
      <c r="C27" s="48"/>
      <c r="D27" s="313"/>
      <c r="E27" s="313"/>
      <c r="F27" s="313"/>
      <c r="G27" s="41"/>
    </row>
  </sheetData>
  <mergeCells count="6">
    <mergeCell ref="D27:F27"/>
    <mergeCell ref="A2:G2"/>
    <mergeCell ref="A3:G3"/>
    <mergeCell ref="A4:G4"/>
    <mergeCell ref="A5:G5"/>
    <mergeCell ref="D26:F26"/>
  </mergeCells>
  <pageMargins left="1.4960629921259843" right="1.4960629921259843" top="1.3385826771653544" bottom="0.74803149606299213" header="0.31496062992125984" footer="0.31496062992125984"/>
  <pageSetup scale="8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42937-19E5-4924-80BB-4E1F0840BAE2}">
  <sheetPr>
    <pageSetUpPr fitToPage="1"/>
  </sheetPr>
  <dimension ref="A1:E44"/>
  <sheetViews>
    <sheetView topLeftCell="A28" workbookViewId="0">
      <selection activeCell="A43" sqref="A43"/>
    </sheetView>
  </sheetViews>
  <sheetFormatPr baseColWidth="10" defaultRowHeight="15" x14ac:dyDescent="0.25"/>
  <cols>
    <col min="1" max="1" width="74.140625" customWidth="1"/>
    <col min="2" max="2" width="15.5703125" customWidth="1"/>
  </cols>
  <sheetData>
    <row r="1" spans="1:5" s="29" customFormat="1" ht="15.75" thickBot="1" x14ac:dyDescent="0.3"/>
    <row r="2" spans="1:5" ht="21" customHeight="1" thickTop="1" x14ac:dyDescent="0.25">
      <c r="A2" s="315" t="s">
        <v>252</v>
      </c>
      <c r="B2" s="315"/>
      <c r="C2" s="156"/>
      <c r="D2" s="156"/>
      <c r="E2" s="156"/>
    </row>
    <row r="3" spans="1:5" ht="21.75" customHeight="1" x14ac:dyDescent="0.25">
      <c r="A3" s="305" t="s">
        <v>253</v>
      </c>
      <c r="B3" s="305"/>
      <c r="C3" s="157"/>
      <c r="D3" s="157"/>
      <c r="E3" s="157"/>
    </row>
    <row r="4" spans="1:5" ht="21" customHeight="1" x14ac:dyDescent="0.25">
      <c r="A4" s="305" t="s">
        <v>109</v>
      </c>
      <c r="B4" s="305"/>
    </row>
    <row r="5" spans="1:5" ht="18.75" customHeight="1" thickBot="1" x14ac:dyDescent="0.3">
      <c r="A5" s="306" t="s">
        <v>110</v>
      </c>
      <c r="B5" s="306"/>
    </row>
    <row r="6" spans="1:5" ht="30.75" customHeight="1" thickTop="1" thickBot="1" x14ac:dyDescent="0.3">
      <c r="A6" s="30"/>
      <c r="B6" s="137" t="s">
        <v>203</v>
      </c>
    </row>
    <row r="7" spans="1:5" ht="23.25" thickTop="1" x14ac:dyDescent="0.25">
      <c r="A7" s="30"/>
      <c r="B7" s="136" t="s">
        <v>111</v>
      </c>
    </row>
    <row r="8" spans="1:5" x14ac:dyDescent="0.25">
      <c r="A8" s="30"/>
      <c r="B8" s="136"/>
    </row>
    <row r="9" spans="1:5" ht="22.5" customHeight="1" x14ac:dyDescent="0.25">
      <c r="A9" s="102" t="s">
        <v>112</v>
      </c>
      <c r="B9" s="105">
        <v>5000000</v>
      </c>
    </row>
    <row r="10" spans="1:5" ht="15.75" customHeight="1" x14ac:dyDescent="0.25">
      <c r="A10" s="102" t="s">
        <v>113</v>
      </c>
      <c r="B10" s="98"/>
    </row>
    <row r="11" spans="1:5" ht="19.5" customHeight="1" x14ac:dyDescent="0.25">
      <c r="A11" s="96" t="s">
        <v>114</v>
      </c>
      <c r="B11" s="98">
        <v>109085000</v>
      </c>
    </row>
    <row r="12" spans="1:5" ht="15.75" customHeight="1" x14ac:dyDescent="0.25">
      <c r="A12" s="96" t="s">
        <v>115</v>
      </c>
      <c r="B12" s="89">
        <v>0</v>
      </c>
    </row>
    <row r="13" spans="1:5" ht="19.5" customHeight="1" x14ac:dyDescent="0.25">
      <c r="A13" s="19" t="s">
        <v>116</v>
      </c>
      <c r="B13" s="89"/>
    </row>
    <row r="14" spans="1:5" x14ac:dyDescent="0.25">
      <c r="A14" s="24" t="s">
        <v>117</v>
      </c>
      <c r="B14" s="89"/>
    </row>
    <row r="15" spans="1:5" x14ac:dyDescent="0.25">
      <c r="A15" s="86" t="s">
        <v>118</v>
      </c>
      <c r="B15" s="89">
        <v>306451451</v>
      </c>
    </row>
    <row r="16" spans="1:5" x14ac:dyDescent="0.25">
      <c r="A16" s="86" t="s">
        <v>119</v>
      </c>
      <c r="B16" s="89">
        <v>230276000</v>
      </c>
    </row>
    <row r="17" spans="1:2" x14ac:dyDescent="0.25">
      <c r="A17" s="86" t="s">
        <v>120</v>
      </c>
      <c r="B17" s="89">
        <v>17166000</v>
      </c>
    </row>
    <row r="18" spans="1:2" x14ac:dyDescent="0.25">
      <c r="A18" s="86" t="s">
        <v>121</v>
      </c>
      <c r="B18" s="89">
        <v>0</v>
      </c>
    </row>
    <row r="19" spans="1:2" x14ac:dyDescent="0.25">
      <c r="A19" s="86" t="s">
        <v>122</v>
      </c>
      <c r="B19" s="89">
        <v>705203054</v>
      </c>
    </row>
    <row r="20" spans="1:2" x14ac:dyDescent="0.25">
      <c r="A20" s="86" t="s">
        <v>123</v>
      </c>
      <c r="B20" s="89">
        <v>0</v>
      </c>
    </row>
    <row r="21" spans="1:2" x14ac:dyDescent="0.25">
      <c r="A21" s="86" t="s">
        <v>124</v>
      </c>
      <c r="B21" s="89">
        <v>3770580</v>
      </c>
    </row>
    <row r="22" spans="1:2" x14ac:dyDescent="0.25">
      <c r="A22" s="86" t="s">
        <v>125</v>
      </c>
      <c r="B22" s="89">
        <v>0</v>
      </c>
    </row>
    <row r="23" spans="1:2" x14ac:dyDescent="0.25">
      <c r="A23" s="86" t="s">
        <v>126</v>
      </c>
      <c r="B23" s="89">
        <v>0</v>
      </c>
    </row>
    <row r="24" spans="1:2" ht="18" customHeight="1" x14ac:dyDescent="0.25">
      <c r="A24" s="19" t="s">
        <v>127</v>
      </c>
      <c r="B24" s="105">
        <f>SUM(B15:B23)</f>
        <v>1262867085</v>
      </c>
    </row>
    <row r="25" spans="1:2" ht="15.75" customHeight="1" x14ac:dyDescent="0.25">
      <c r="A25" s="86"/>
      <c r="B25" s="89"/>
    </row>
    <row r="26" spans="1:2" x14ac:dyDescent="0.25">
      <c r="A26" s="24" t="s">
        <v>128</v>
      </c>
      <c r="B26" s="89"/>
    </row>
    <row r="27" spans="1:2" x14ac:dyDescent="0.25">
      <c r="A27" s="86" t="s">
        <v>129</v>
      </c>
      <c r="B27" s="89">
        <v>858648551</v>
      </c>
    </row>
    <row r="28" spans="1:2" x14ac:dyDescent="0.25">
      <c r="A28" s="86" t="s">
        <v>130</v>
      </c>
      <c r="B28" s="89">
        <v>0</v>
      </c>
    </row>
    <row r="29" spans="1:2" ht="18.75" customHeight="1" x14ac:dyDescent="0.25">
      <c r="A29" s="19" t="s">
        <v>131</v>
      </c>
      <c r="B29" s="105">
        <f>SUM(B27:B28)</f>
        <v>858648551</v>
      </c>
    </row>
    <row r="30" spans="1:2" x14ac:dyDescent="0.25">
      <c r="A30" s="86"/>
      <c r="B30" s="89"/>
    </row>
    <row r="31" spans="1:2" x14ac:dyDescent="0.25">
      <c r="A31" s="24" t="s">
        <v>132</v>
      </c>
      <c r="B31" s="89"/>
    </row>
    <row r="32" spans="1:2" x14ac:dyDescent="0.25">
      <c r="A32" s="86" t="s">
        <v>133</v>
      </c>
      <c r="B32" s="89">
        <v>5000000</v>
      </c>
    </row>
    <row r="33" spans="1:2" x14ac:dyDescent="0.25">
      <c r="A33" s="86" t="s">
        <v>134</v>
      </c>
      <c r="B33" s="89">
        <v>596697366</v>
      </c>
    </row>
    <row r="34" spans="1:2" x14ac:dyDescent="0.25">
      <c r="A34" s="86" t="s">
        <v>135</v>
      </c>
      <c r="B34" s="89">
        <v>0</v>
      </c>
    </row>
    <row r="35" spans="1:2" ht="18.75" customHeight="1" x14ac:dyDescent="0.25">
      <c r="A35" s="19" t="s">
        <v>136</v>
      </c>
      <c r="B35" s="105">
        <f>SUM(B32:B34)</f>
        <v>601697366</v>
      </c>
    </row>
    <row r="36" spans="1:2" ht="21.75" customHeight="1" x14ac:dyDescent="0.25">
      <c r="A36" s="81" t="s">
        <v>137</v>
      </c>
      <c r="B36" s="98">
        <v>7213998</v>
      </c>
    </row>
    <row r="37" spans="1:2" ht="18.75" customHeight="1" x14ac:dyDescent="0.25">
      <c r="A37" s="81" t="s">
        <v>138</v>
      </c>
      <c r="B37" s="98">
        <v>7213998</v>
      </c>
    </row>
    <row r="38" spans="1:2" ht="18.75" customHeight="1" thickBot="1" x14ac:dyDescent="0.3">
      <c r="A38" s="81" t="s">
        <v>139</v>
      </c>
      <c r="B38" s="134">
        <v>0</v>
      </c>
    </row>
    <row r="39" spans="1:2" ht="27.75" customHeight="1" thickTop="1" thickBot="1" x14ac:dyDescent="0.3">
      <c r="A39" s="19" t="s">
        <v>140</v>
      </c>
      <c r="B39" s="135">
        <f>B37</f>
        <v>7213998</v>
      </c>
    </row>
    <row r="40" spans="1:2" ht="15.75" thickTop="1" x14ac:dyDescent="0.25">
      <c r="A40" s="49"/>
      <c r="B40" s="50"/>
    </row>
    <row r="41" spans="1:2" x14ac:dyDescent="0.25">
      <c r="A41" s="49"/>
      <c r="B41" s="50"/>
    </row>
    <row r="42" spans="1:2" x14ac:dyDescent="0.25">
      <c r="A42" s="49"/>
      <c r="B42" s="50"/>
    </row>
    <row r="43" spans="1:2" x14ac:dyDescent="0.25">
      <c r="A43" s="24"/>
      <c r="B43" s="35"/>
    </row>
    <row r="44" spans="1:2" x14ac:dyDescent="0.25">
      <c r="A44" s="86"/>
    </row>
  </sheetData>
  <mergeCells count="4">
    <mergeCell ref="A2:B2"/>
    <mergeCell ref="A3:B3"/>
    <mergeCell ref="A4:B4"/>
    <mergeCell ref="A5:B5"/>
  </mergeCells>
  <pageMargins left="0.9055118110236221" right="0.9055118110236221" top="1.3385826771653544" bottom="0.74803149606299213" header="0.31496062992125984" footer="0.31496062992125984"/>
  <pageSetup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658A4-970C-455C-8480-B92EEA4C78E1}">
  <sheetPr>
    <pageSetUpPr fitToPage="1"/>
  </sheetPr>
  <dimension ref="A1:B44"/>
  <sheetViews>
    <sheetView topLeftCell="A38" workbookViewId="0">
      <selection activeCell="A45" sqref="A45"/>
    </sheetView>
  </sheetViews>
  <sheetFormatPr baseColWidth="10" defaultRowHeight="15" x14ac:dyDescent="0.25"/>
  <cols>
    <col min="1" max="1" width="74.140625" customWidth="1"/>
    <col min="2" max="2" width="15.5703125" customWidth="1"/>
  </cols>
  <sheetData>
    <row r="1" spans="1:2" s="29" customFormat="1" ht="15.75" thickBot="1" x14ac:dyDescent="0.3"/>
    <row r="2" spans="1:2" ht="21" customHeight="1" thickTop="1" x14ac:dyDescent="0.25">
      <c r="A2" s="315" t="s">
        <v>252</v>
      </c>
      <c r="B2" s="315"/>
    </row>
    <row r="3" spans="1:2" ht="21.75" customHeight="1" x14ac:dyDescent="0.25">
      <c r="A3" s="305" t="s">
        <v>253</v>
      </c>
      <c r="B3" s="305"/>
    </row>
    <row r="4" spans="1:2" ht="21" customHeight="1" x14ac:dyDescent="0.25">
      <c r="A4" s="305" t="s">
        <v>109</v>
      </c>
      <c r="B4" s="305"/>
    </row>
    <row r="5" spans="1:2" ht="18.75" customHeight="1" thickBot="1" x14ac:dyDescent="0.3">
      <c r="A5" s="306" t="s">
        <v>141</v>
      </c>
      <c r="B5" s="306"/>
    </row>
    <row r="6" spans="1:2" ht="30.75" customHeight="1" thickTop="1" thickBot="1" x14ac:dyDescent="0.3">
      <c r="A6" s="30"/>
      <c r="B6" s="137" t="s">
        <v>203</v>
      </c>
    </row>
    <row r="7" spans="1:2" ht="28.5" customHeight="1" thickTop="1" x14ac:dyDescent="0.25">
      <c r="A7" s="30"/>
      <c r="B7" s="136" t="s">
        <v>142</v>
      </c>
    </row>
    <row r="8" spans="1:2" ht="8.25" customHeight="1" x14ac:dyDescent="0.25">
      <c r="A8" s="30"/>
      <c r="B8" s="136"/>
    </row>
    <row r="9" spans="1:2" ht="22.5" customHeight="1" x14ac:dyDescent="0.25">
      <c r="A9" s="102" t="s">
        <v>112</v>
      </c>
      <c r="B9" s="105">
        <v>8749702</v>
      </c>
    </row>
    <row r="10" spans="1:2" ht="15.75" customHeight="1" x14ac:dyDescent="0.25">
      <c r="A10" s="102" t="s">
        <v>113</v>
      </c>
      <c r="B10" s="98"/>
    </row>
    <row r="11" spans="1:2" ht="19.5" customHeight="1" x14ac:dyDescent="0.25">
      <c r="A11" s="96" t="s">
        <v>114</v>
      </c>
      <c r="B11" s="98">
        <v>120217752</v>
      </c>
    </row>
    <row r="12" spans="1:2" ht="15.75" customHeight="1" x14ac:dyDescent="0.25">
      <c r="A12" s="96" t="s">
        <v>115</v>
      </c>
      <c r="B12" s="89">
        <v>0</v>
      </c>
    </row>
    <row r="13" spans="1:2" ht="19.5" customHeight="1" x14ac:dyDescent="0.25">
      <c r="A13" s="19" t="s">
        <v>116</v>
      </c>
      <c r="B13" s="89"/>
    </row>
    <row r="14" spans="1:2" x14ac:dyDescent="0.25">
      <c r="A14" s="24" t="s">
        <v>117</v>
      </c>
      <c r="B14" s="89"/>
    </row>
    <row r="15" spans="1:2" x14ac:dyDescent="0.25">
      <c r="A15" s="86" t="s">
        <v>118</v>
      </c>
      <c r="B15" s="89">
        <v>317625920</v>
      </c>
    </row>
    <row r="16" spans="1:2" x14ac:dyDescent="0.25">
      <c r="A16" s="86" t="s">
        <v>119</v>
      </c>
      <c r="B16" s="89">
        <v>440830118</v>
      </c>
    </row>
    <row r="17" spans="1:2" x14ac:dyDescent="0.25">
      <c r="A17" s="86" t="s">
        <v>120</v>
      </c>
      <c r="B17" s="89">
        <v>19138367</v>
      </c>
    </row>
    <row r="18" spans="1:2" x14ac:dyDescent="0.25">
      <c r="A18" s="86" t="s">
        <v>121</v>
      </c>
      <c r="B18" s="89">
        <v>0</v>
      </c>
    </row>
    <row r="19" spans="1:2" x14ac:dyDescent="0.25">
      <c r="A19" s="86" t="s">
        <v>122</v>
      </c>
      <c r="B19" s="89">
        <v>0</v>
      </c>
    </row>
    <row r="20" spans="1:2" x14ac:dyDescent="0.25">
      <c r="A20" s="86" t="s">
        <v>123</v>
      </c>
      <c r="B20" s="89">
        <v>0</v>
      </c>
    </row>
    <row r="21" spans="1:2" x14ac:dyDescent="0.25">
      <c r="A21" s="86" t="s">
        <v>124</v>
      </c>
      <c r="B21" s="89">
        <v>190004000</v>
      </c>
    </row>
    <row r="22" spans="1:2" x14ac:dyDescent="0.25">
      <c r="A22" s="86" t="s">
        <v>125</v>
      </c>
      <c r="B22" s="89">
        <v>0</v>
      </c>
    </row>
    <row r="23" spans="1:2" x14ac:dyDescent="0.25">
      <c r="A23" s="86" t="s">
        <v>126</v>
      </c>
      <c r="B23" s="89">
        <v>8968804</v>
      </c>
    </row>
    <row r="24" spans="1:2" ht="18" customHeight="1" x14ac:dyDescent="0.25">
      <c r="A24" s="19" t="s">
        <v>127</v>
      </c>
      <c r="B24" s="105">
        <f>SUM(B15:B23)</f>
        <v>976567209</v>
      </c>
    </row>
    <row r="25" spans="1:2" ht="15.75" customHeight="1" x14ac:dyDescent="0.25">
      <c r="A25" s="86"/>
      <c r="B25" s="89"/>
    </row>
    <row r="26" spans="1:2" x14ac:dyDescent="0.25">
      <c r="A26" s="24" t="s">
        <v>128</v>
      </c>
      <c r="B26" s="89"/>
    </row>
    <row r="27" spans="1:2" x14ac:dyDescent="0.25">
      <c r="A27" s="86" t="s">
        <v>129</v>
      </c>
      <c r="B27" s="89">
        <v>270162862</v>
      </c>
    </row>
    <row r="28" spans="1:2" x14ac:dyDescent="0.25">
      <c r="A28" s="86" t="s">
        <v>130</v>
      </c>
      <c r="B28" s="89">
        <v>0</v>
      </c>
    </row>
    <row r="29" spans="1:2" ht="18.75" customHeight="1" x14ac:dyDescent="0.25">
      <c r="A29" s="19" t="s">
        <v>131</v>
      </c>
      <c r="B29" s="105">
        <f>SUM(B27:B28)</f>
        <v>270162862</v>
      </c>
    </row>
    <row r="30" spans="1:2" x14ac:dyDescent="0.25">
      <c r="A30" s="86"/>
      <c r="B30" s="89"/>
    </row>
    <row r="31" spans="1:2" x14ac:dyDescent="0.25">
      <c r="A31" s="24" t="s">
        <v>132</v>
      </c>
      <c r="B31" s="89"/>
    </row>
    <row r="32" spans="1:2" x14ac:dyDescent="0.25">
      <c r="A32" s="86" t="s">
        <v>133</v>
      </c>
      <c r="B32" s="89">
        <v>5000000</v>
      </c>
    </row>
    <row r="33" spans="1:2" x14ac:dyDescent="0.25">
      <c r="A33" s="86" t="s">
        <v>134</v>
      </c>
      <c r="B33" s="89">
        <v>0</v>
      </c>
    </row>
    <row r="34" spans="1:2" x14ac:dyDescent="0.25">
      <c r="A34" s="86" t="s">
        <v>135</v>
      </c>
      <c r="B34" s="89">
        <v>731123938</v>
      </c>
    </row>
    <row r="35" spans="1:2" ht="18.75" customHeight="1" x14ac:dyDescent="0.25">
      <c r="A35" s="19" t="s">
        <v>136</v>
      </c>
      <c r="B35" s="105">
        <f>SUM(B32:B34)</f>
        <v>736123938</v>
      </c>
    </row>
    <row r="36" spans="1:2" ht="21.75" customHeight="1" x14ac:dyDescent="0.25">
      <c r="A36" s="81" t="s">
        <v>137</v>
      </c>
      <c r="B36" s="98">
        <v>8749702</v>
      </c>
    </row>
    <row r="37" spans="1:2" ht="18.75" customHeight="1" x14ac:dyDescent="0.25">
      <c r="A37" s="81" t="s">
        <v>138</v>
      </c>
      <c r="B37" s="98">
        <v>2350000</v>
      </c>
    </row>
    <row r="38" spans="1:2" ht="18.75" customHeight="1" thickBot="1" x14ac:dyDescent="0.3">
      <c r="A38" s="81" t="s">
        <v>139</v>
      </c>
      <c r="B38" s="134">
        <f>B9</f>
        <v>8749702</v>
      </c>
    </row>
    <row r="39" spans="1:2" ht="27.75" customHeight="1" thickTop="1" thickBot="1" x14ac:dyDescent="0.3">
      <c r="A39" s="19" t="s">
        <v>140</v>
      </c>
      <c r="B39" s="135">
        <v>8749702</v>
      </c>
    </row>
    <row r="40" spans="1:2" ht="15.75" thickTop="1" x14ac:dyDescent="0.25">
      <c r="A40" s="49"/>
      <c r="B40" s="50"/>
    </row>
    <row r="41" spans="1:2" x14ac:dyDescent="0.25">
      <c r="A41" s="49"/>
      <c r="B41" s="50"/>
    </row>
    <row r="42" spans="1:2" x14ac:dyDescent="0.25">
      <c r="A42" s="49"/>
      <c r="B42" s="50"/>
    </row>
    <row r="43" spans="1:2" x14ac:dyDescent="0.25">
      <c r="A43" s="24"/>
      <c r="B43" s="35"/>
    </row>
    <row r="44" spans="1:2" x14ac:dyDescent="0.25">
      <c r="A44" s="86"/>
    </row>
  </sheetData>
  <mergeCells count="4">
    <mergeCell ref="A2:B2"/>
    <mergeCell ref="A3:B3"/>
    <mergeCell ref="A4:B4"/>
    <mergeCell ref="A5:B5"/>
  </mergeCells>
  <pageMargins left="0.9055118110236221" right="0.9055118110236221" top="1.3385826771653544" bottom="0.74803149606299213" header="0.31496062992125984" footer="0.31496062992125984"/>
  <pageSetup scale="8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717D-E147-4B96-A9F1-653648DA11E3}">
  <sheetPr>
    <pageSetUpPr fitToPage="1"/>
  </sheetPr>
  <dimension ref="A1:B39"/>
  <sheetViews>
    <sheetView topLeftCell="A23" workbookViewId="0">
      <selection activeCell="A36" sqref="A36"/>
    </sheetView>
  </sheetViews>
  <sheetFormatPr baseColWidth="10" defaultRowHeight="15" x14ac:dyDescent="0.25"/>
  <cols>
    <col min="1" max="1" width="74.140625" customWidth="1"/>
    <col min="2" max="2" width="15.5703125" customWidth="1"/>
  </cols>
  <sheetData>
    <row r="1" spans="1:2" s="29" customFormat="1" ht="15.75" thickBot="1" x14ac:dyDescent="0.3"/>
    <row r="2" spans="1:2" ht="21" customHeight="1" thickTop="1" x14ac:dyDescent="0.25">
      <c r="A2" s="315" t="s">
        <v>252</v>
      </c>
      <c r="B2" s="315"/>
    </row>
    <row r="3" spans="1:2" ht="21.75" customHeight="1" x14ac:dyDescent="0.25">
      <c r="A3" s="305" t="s">
        <v>253</v>
      </c>
      <c r="B3" s="305"/>
    </row>
    <row r="4" spans="1:2" ht="21" customHeight="1" x14ac:dyDescent="0.25">
      <c r="A4" s="305" t="s">
        <v>109</v>
      </c>
      <c r="B4" s="305"/>
    </row>
    <row r="5" spans="1:2" ht="18.75" customHeight="1" thickBot="1" x14ac:dyDescent="0.3">
      <c r="A5" s="306" t="s">
        <v>205</v>
      </c>
      <c r="B5" s="306"/>
    </row>
    <row r="6" spans="1:2" ht="30.75" customHeight="1" thickTop="1" thickBot="1" x14ac:dyDescent="0.3">
      <c r="A6" s="30"/>
      <c r="B6" s="137" t="s">
        <v>203</v>
      </c>
    </row>
    <row r="7" spans="1:2" ht="28.5" customHeight="1" thickTop="1" x14ac:dyDescent="0.25">
      <c r="A7" s="30"/>
      <c r="B7" s="136" t="s">
        <v>206</v>
      </c>
    </row>
    <row r="8" spans="1:2" ht="8.25" customHeight="1" x14ac:dyDescent="0.25">
      <c r="A8" s="30"/>
      <c r="B8" s="136"/>
    </row>
    <row r="9" spans="1:2" ht="22.5" customHeight="1" x14ac:dyDescent="0.25">
      <c r="A9" s="102" t="s">
        <v>112</v>
      </c>
      <c r="B9" s="105">
        <v>2350000</v>
      </c>
    </row>
    <row r="10" spans="1:2" ht="15.75" customHeight="1" x14ac:dyDescent="0.25">
      <c r="A10" s="102" t="s">
        <v>113</v>
      </c>
      <c r="B10" s="98"/>
    </row>
    <row r="11" spans="1:2" ht="19.5" customHeight="1" x14ac:dyDescent="0.25">
      <c r="A11" s="96" t="s">
        <v>114</v>
      </c>
      <c r="B11" s="98">
        <v>90161574</v>
      </c>
    </row>
    <row r="12" spans="1:2" ht="19.5" customHeight="1" x14ac:dyDescent="0.25">
      <c r="A12" s="19" t="s">
        <v>116</v>
      </c>
      <c r="B12" s="89"/>
    </row>
    <row r="13" spans="1:2" x14ac:dyDescent="0.25">
      <c r="A13" s="24" t="s">
        <v>117</v>
      </c>
      <c r="B13" s="89"/>
    </row>
    <row r="14" spans="1:2" x14ac:dyDescent="0.25">
      <c r="A14" s="86" t="s">
        <v>118</v>
      </c>
      <c r="B14" s="89">
        <v>165626767</v>
      </c>
    </row>
    <row r="15" spans="1:2" x14ac:dyDescent="0.25">
      <c r="A15" s="86" t="s">
        <v>119</v>
      </c>
      <c r="B15" s="89">
        <v>186382387</v>
      </c>
    </row>
    <row r="16" spans="1:2" x14ac:dyDescent="0.25">
      <c r="A16" s="86" t="s">
        <v>122</v>
      </c>
      <c r="B16" s="89">
        <v>0</v>
      </c>
    </row>
    <row r="17" spans="1:2" x14ac:dyDescent="0.25">
      <c r="A17" s="86" t="s">
        <v>123</v>
      </c>
      <c r="B17" s="89">
        <v>0</v>
      </c>
    </row>
    <row r="18" spans="1:2" x14ac:dyDescent="0.25">
      <c r="A18" s="86" t="s">
        <v>124</v>
      </c>
      <c r="B18" s="89">
        <v>28870000</v>
      </c>
    </row>
    <row r="19" spans="1:2" ht="18" customHeight="1" x14ac:dyDescent="0.25">
      <c r="A19" s="19" t="s">
        <v>127</v>
      </c>
      <c r="B19" s="105">
        <f>SUM(B14:B18)</f>
        <v>380879154</v>
      </c>
    </row>
    <row r="20" spans="1:2" ht="15.75" customHeight="1" x14ac:dyDescent="0.25">
      <c r="A20" s="86"/>
      <c r="B20" s="89"/>
    </row>
    <row r="21" spans="1:2" x14ac:dyDescent="0.25">
      <c r="A21" s="24" t="s">
        <v>128</v>
      </c>
      <c r="B21" s="89"/>
    </row>
    <row r="22" spans="1:2" x14ac:dyDescent="0.25">
      <c r="A22" s="86" t="s">
        <v>129</v>
      </c>
      <c r="B22" s="89">
        <v>300000000</v>
      </c>
    </row>
    <row r="23" spans="1:2" x14ac:dyDescent="0.25">
      <c r="A23" s="86" t="s">
        <v>130</v>
      </c>
      <c r="B23" s="89">
        <v>0</v>
      </c>
    </row>
    <row r="24" spans="1:2" ht="18.75" customHeight="1" x14ac:dyDescent="0.25">
      <c r="A24" s="19" t="s">
        <v>131</v>
      </c>
      <c r="B24" s="105">
        <f>SUM(B22:B23)</f>
        <v>300000000</v>
      </c>
    </row>
    <row r="25" spans="1:2" x14ac:dyDescent="0.25">
      <c r="A25" s="86"/>
      <c r="B25" s="89"/>
    </row>
    <row r="26" spans="1:2" x14ac:dyDescent="0.25">
      <c r="A26" s="24" t="s">
        <v>132</v>
      </c>
      <c r="B26" s="89"/>
    </row>
    <row r="27" spans="1:2" x14ac:dyDescent="0.25">
      <c r="A27" s="86" t="s">
        <v>133</v>
      </c>
      <c r="B27" s="89">
        <v>5000000</v>
      </c>
    </row>
    <row r="28" spans="1:2" x14ac:dyDescent="0.25">
      <c r="A28" s="86" t="s">
        <v>135</v>
      </c>
      <c r="B28" s="89">
        <v>619928494</v>
      </c>
    </row>
    <row r="29" spans="1:2" ht="18.75" customHeight="1" x14ac:dyDescent="0.25">
      <c r="A29" s="19" t="s">
        <v>136</v>
      </c>
      <c r="B29" s="105">
        <f>SUM(B27:B28)</f>
        <v>624928494</v>
      </c>
    </row>
    <row r="30" spans="1:2" ht="21.75" customHeight="1" x14ac:dyDescent="0.25">
      <c r="A30" s="81" t="s">
        <v>137</v>
      </c>
      <c r="B30" s="98">
        <f>B31-B32</f>
        <v>-846000</v>
      </c>
    </row>
    <row r="31" spans="1:2" ht="18.75" customHeight="1" x14ac:dyDescent="0.25">
      <c r="A31" s="81" t="s">
        <v>138</v>
      </c>
      <c r="B31" s="98">
        <v>1504000</v>
      </c>
    </row>
    <row r="32" spans="1:2" ht="18.75" customHeight="1" thickBot="1" x14ac:dyDescent="0.3">
      <c r="A32" s="81" t="s">
        <v>139</v>
      </c>
      <c r="B32" s="134">
        <f>B9</f>
        <v>2350000</v>
      </c>
    </row>
    <row r="33" spans="1:2" ht="27.75" customHeight="1" thickTop="1" thickBot="1" x14ac:dyDescent="0.3">
      <c r="A33" s="19" t="s">
        <v>140</v>
      </c>
      <c r="B33" s="135">
        <v>2147066</v>
      </c>
    </row>
    <row r="34" spans="1:2" ht="15.75" thickTop="1" x14ac:dyDescent="0.25">
      <c r="A34" s="49"/>
      <c r="B34" s="50"/>
    </row>
    <row r="35" spans="1:2" x14ac:dyDescent="0.25">
      <c r="A35" s="49"/>
      <c r="B35" s="50"/>
    </row>
    <row r="36" spans="1:2" x14ac:dyDescent="0.25">
      <c r="A36" s="49"/>
      <c r="B36" s="50"/>
    </row>
    <row r="37" spans="1:2" x14ac:dyDescent="0.25">
      <c r="A37" s="49"/>
      <c r="B37" s="50"/>
    </row>
    <row r="38" spans="1:2" x14ac:dyDescent="0.25">
      <c r="A38" s="24"/>
      <c r="B38" s="35"/>
    </row>
    <row r="39" spans="1:2" x14ac:dyDescent="0.25">
      <c r="A39" s="86"/>
    </row>
  </sheetData>
  <mergeCells count="4">
    <mergeCell ref="A2:B2"/>
    <mergeCell ref="A3:B3"/>
    <mergeCell ref="A4:B4"/>
    <mergeCell ref="A5:B5"/>
  </mergeCells>
  <pageMargins left="0.70866141732283472" right="0.70866141732283472" top="1.3385826771653544" bottom="0.74803149606299213" header="0.31496062992125984" footer="0.31496062992125984"/>
  <pageSetup scale="9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AE23-1A0A-4AA7-A296-809796AC7113}">
  <sheetPr>
    <pageSetUpPr fitToPage="1"/>
  </sheetPr>
  <dimension ref="A1:B42"/>
  <sheetViews>
    <sheetView tabSelected="1" workbookViewId="0">
      <selection activeCell="A35" sqref="A35"/>
    </sheetView>
  </sheetViews>
  <sheetFormatPr baseColWidth="10" defaultRowHeight="15" x14ac:dyDescent="0.25"/>
  <cols>
    <col min="1" max="1" width="74.140625" customWidth="1"/>
    <col min="2" max="2" width="15.5703125" customWidth="1"/>
  </cols>
  <sheetData>
    <row r="1" spans="1:2" s="29" customFormat="1" ht="15.75" thickBot="1" x14ac:dyDescent="0.3"/>
    <row r="2" spans="1:2" ht="21" customHeight="1" thickTop="1" x14ac:dyDescent="0.25">
      <c r="A2" s="315" t="s">
        <v>252</v>
      </c>
      <c r="B2" s="315"/>
    </row>
    <row r="3" spans="1:2" ht="21.75" customHeight="1" x14ac:dyDescent="0.25">
      <c r="A3" s="305" t="s">
        <v>253</v>
      </c>
      <c r="B3" s="305"/>
    </row>
    <row r="4" spans="1:2" ht="21" customHeight="1" x14ac:dyDescent="0.25">
      <c r="A4" s="305" t="s">
        <v>109</v>
      </c>
      <c r="B4" s="305"/>
    </row>
    <row r="5" spans="1:2" ht="18.75" customHeight="1" thickBot="1" x14ac:dyDescent="0.3">
      <c r="A5" s="306" t="s">
        <v>373</v>
      </c>
      <c r="B5" s="306"/>
    </row>
    <row r="6" spans="1:2" ht="30.75" customHeight="1" thickTop="1" thickBot="1" x14ac:dyDescent="0.3">
      <c r="A6" s="30"/>
      <c r="B6" s="137" t="s">
        <v>203</v>
      </c>
    </row>
    <row r="7" spans="1:2" ht="28.5" customHeight="1" thickTop="1" x14ac:dyDescent="0.25">
      <c r="A7" s="30"/>
      <c r="B7" s="136" t="s">
        <v>374</v>
      </c>
    </row>
    <row r="8" spans="1:2" ht="8.25" customHeight="1" x14ac:dyDescent="0.25">
      <c r="A8" s="30"/>
      <c r="B8" s="136"/>
    </row>
    <row r="9" spans="1:2" ht="22.5" customHeight="1" x14ac:dyDescent="0.25">
      <c r="A9" s="102" t="s">
        <v>112</v>
      </c>
      <c r="B9" s="105">
        <v>1287780</v>
      </c>
    </row>
    <row r="10" spans="1:2" ht="15.75" customHeight="1" x14ac:dyDescent="0.25">
      <c r="A10" s="102" t="s">
        <v>113</v>
      </c>
      <c r="B10" s="98"/>
    </row>
    <row r="11" spans="1:2" ht="19.5" customHeight="1" x14ac:dyDescent="0.25">
      <c r="A11" s="96" t="s">
        <v>114</v>
      </c>
      <c r="B11" s="98">
        <v>73188324</v>
      </c>
    </row>
    <row r="12" spans="1:2" ht="19.5" customHeight="1" x14ac:dyDescent="0.25">
      <c r="A12" s="19" t="s">
        <v>116</v>
      </c>
      <c r="B12" s="89"/>
    </row>
    <row r="13" spans="1:2" x14ac:dyDescent="0.25">
      <c r="A13" s="24" t="s">
        <v>117</v>
      </c>
      <c r="B13" s="89"/>
    </row>
    <row r="14" spans="1:2" x14ac:dyDescent="0.25">
      <c r="A14" s="86" t="s">
        <v>118</v>
      </c>
      <c r="B14" s="89">
        <v>73570016</v>
      </c>
    </row>
    <row r="15" spans="1:2" x14ac:dyDescent="0.25">
      <c r="A15" s="86" t="s">
        <v>119</v>
      </c>
      <c r="B15" s="89">
        <v>136565722</v>
      </c>
    </row>
    <row r="16" spans="1:2" x14ac:dyDescent="0.25">
      <c r="A16" s="86" t="s">
        <v>122</v>
      </c>
      <c r="B16" s="89">
        <v>0</v>
      </c>
    </row>
    <row r="17" spans="1:2" x14ac:dyDescent="0.25">
      <c r="A17" s="86" t="s">
        <v>123</v>
      </c>
      <c r="B17" s="89">
        <v>0</v>
      </c>
    </row>
    <row r="18" spans="1:2" x14ac:dyDescent="0.25">
      <c r="A18" s="86" t="s">
        <v>124</v>
      </c>
      <c r="B18" s="89">
        <v>34843000</v>
      </c>
    </row>
    <row r="19" spans="1:2" ht="18" customHeight="1" x14ac:dyDescent="0.25">
      <c r="A19" s="19" t="s">
        <v>127</v>
      </c>
      <c r="B19" s="105">
        <f>SUM(B14:B18)</f>
        <v>244978738</v>
      </c>
    </row>
    <row r="20" spans="1:2" ht="15.75" customHeight="1" x14ac:dyDescent="0.25">
      <c r="A20" s="86"/>
      <c r="B20" s="89"/>
    </row>
    <row r="21" spans="1:2" x14ac:dyDescent="0.25">
      <c r="A21" s="24" t="s">
        <v>128</v>
      </c>
      <c r="B21" s="89"/>
    </row>
    <row r="22" spans="1:2" x14ac:dyDescent="0.25">
      <c r="A22" s="86" t="s">
        <v>129</v>
      </c>
      <c r="B22" s="89">
        <v>16400000</v>
      </c>
    </row>
    <row r="23" spans="1:2" x14ac:dyDescent="0.25">
      <c r="A23" s="86" t="s">
        <v>130</v>
      </c>
      <c r="B23" s="89">
        <v>0</v>
      </c>
    </row>
    <row r="24" spans="1:2" ht="18.75" customHeight="1" x14ac:dyDescent="0.25">
      <c r="A24" s="19" t="s">
        <v>131</v>
      </c>
      <c r="B24" s="105">
        <f>SUM(B22:B23)</f>
        <v>16400000</v>
      </c>
    </row>
    <row r="25" spans="1:2" x14ac:dyDescent="0.25">
      <c r="A25" s="86"/>
      <c r="B25" s="89"/>
    </row>
    <row r="26" spans="1:2" x14ac:dyDescent="0.25">
      <c r="A26" s="24" t="s">
        <v>132</v>
      </c>
      <c r="B26" s="89"/>
    </row>
    <row r="27" spans="1:2" x14ac:dyDescent="0.25">
      <c r="A27" s="86" t="s">
        <v>133</v>
      </c>
      <c r="B27" s="89">
        <v>5000000</v>
      </c>
    </row>
    <row r="28" spans="1:2" x14ac:dyDescent="0.25">
      <c r="A28" s="86" t="s">
        <v>135</v>
      </c>
      <c r="B28" s="89">
        <v>1234000625</v>
      </c>
    </row>
    <row r="29" spans="1:2" ht="18.75" customHeight="1" x14ac:dyDescent="0.25">
      <c r="A29" s="19" t="s">
        <v>136</v>
      </c>
      <c r="B29" s="105">
        <f>SUM(B27:B28)</f>
        <v>1239000625</v>
      </c>
    </row>
    <row r="30" spans="1:2" ht="21.75" customHeight="1" x14ac:dyDescent="0.25">
      <c r="A30" s="81" t="s">
        <v>137</v>
      </c>
      <c r="B30" s="98">
        <v>1000000</v>
      </c>
    </row>
    <row r="31" spans="1:2" ht="18.75" customHeight="1" x14ac:dyDescent="0.25">
      <c r="A31" s="81" t="s">
        <v>138</v>
      </c>
      <c r="B31" s="98">
        <v>593000</v>
      </c>
    </row>
    <row r="32" spans="1:2" ht="18.75" customHeight="1" thickBot="1" x14ac:dyDescent="0.3">
      <c r="A32" s="81" t="s">
        <v>139</v>
      </c>
      <c r="B32" s="134">
        <f>B9</f>
        <v>1287780</v>
      </c>
    </row>
    <row r="33" spans="1:2" ht="27.75" customHeight="1" thickTop="1" thickBot="1" x14ac:dyDescent="0.3">
      <c r="A33" s="19" t="s">
        <v>140</v>
      </c>
      <c r="B33" s="135">
        <f>B32</f>
        <v>1287780</v>
      </c>
    </row>
    <row r="34" spans="1:2" ht="15.75" thickTop="1" x14ac:dyDescent="0.25">
      <c r="A34" s="49"/>
      <c r="B34" s="50"/>
    </row>
    <row r="35" spans="1:2" x14ac:dyDescent="0.25">
      <c r="A35" s="49"/>
      <c r="B35" s="50"/>
    </row>
    <row r="36" spans="1:2" x14ac:dyDescent="0.25">
      <c r="A36" s="49"/>
      <c r="B36" s="50"/>
    </row>
    <row r="37" spans="1:2" x14ac:dyDescent="0.25">
      <c r="A37" s="49"/>
      <c r="B37" s="50"/>
    </row>
    <row r="38" spans="1:2" x14ac:dyDescent="0.25">
      <c r="A38" s="49"/>
      <c r="B38" s="50"/>
    </row>
    <row r="39" spans="1:2" x14ac:dyDescent="0.25">
      <c r="A39" s="49"/>
      <c r="B39" s="50"/>
    </row>
    <row r="40" spans="1:2" x14ac:dyDescent="0.25">
      <c r="A40" s="49"/>
      <c r="B40" s="50"/>
    </row>
    <row r="41" spans="1:2" x14ac:dyDescent="0.25">
      <c r="A41" s="24"/>
      <c r="B41" s="35"/>
    </row>
    <row r="42" spans="1:2" x14ac:dyDescent="0.25">
      <c r="A42" s="86"/>
    </row>
  </sheetData>
  <mergeCells count="4">
    <mergeCell ref="A2:B2"/>
    <mergeCell ref="A3:B3"/>
    <mergeCell ref="A4:B4"/>
    <mergeCell ref="A5:B5"/>
  </mergeCells>
  <pageMargins left="0.70866141732283472" right="0.70866141732283472" top="1.3385826771653544" bottom="0.74803149606299213" header="0.31496062992125984" footer="0.31496062992125984"/>
  <pageSetup scale="8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126D-4BE2-41AE-A703-AD0A456D14EE}">
  <sheetPr>
    <pageSetUpPr fitToPage="1"/>
  </sheetPr>
  <dimension ref="A1:N42"/>
  <sheetViews>
    <sheetView topLeftCell="A19" workbookViewId="0">
      <selection activeCell="F30" sqref="F30"/>
    </sheetView>
  </sheetViews>
  <sheetFormatPr baseColWidth="10" defaultRowHeight="15" x14ac:dyDescent="0.25"/>
  <cols>
    <col min="1" max="1" width="46.7109375" customWidth="1"/>
    <col min="2" max="2" width="14.28515625" customWidth="1"/>
    <col min="3" max="3" width="13.7109375" customWidth="1"/>
    <col min="4" max="4" width="14.28515625" customWidth="1"/>
    <col min="5" max="5" width="16.140625" bestFit="1" customWidth="1"/>
    <col min="6" max="6" width="14.5703125" customWidth="1"/>
    <col min="7" max="7" width="14.42578125" customWidth="1"/>
    <col min="8" max="8" width="14" customWidth="1"/>
    <col min="9" max="9" width="14.28515625" customWidth="1"/>
    <col min="10" max="12" width="15" customWidth="1"/>
    <col min="13" max="13" width="14.5703125" customWidth="1"/>
    <col min="14" max="14" width="13.85546875" bestFit="1" customWidth="1"/>
  </cols>
  <sheetData>
    <row r="1" spans="1:13" ht="15.75" thickBot="1" x14ac:dyDescent="0.3">
      <c r="A1" s="29"/>
      <c r="B1" s="29"/>
      <c r="C1" s="29"/>
      <c r="D1" s="29"/>
      <c r="E1" s="29"/>
      <c r="F1" s="29"/>
      <c r="G1" s="29"/>
      <c r="H1" s="29"/>
      <c r="I1" s="29"/>
      <c r="J1" s="29"/>
      <c r="K1" s="29"/>
      <c r="L1" s="29"/>
      <c r="M1" s="29"/>
    </row>
    <row r="2" spans="1:13" ht="21" customHeight="1" thickTop="1" x14ac:dyDescent="0.25">
      <c r="A2" s="321" t="s">
        <v>252</v>
      </c>
      <c r="B2" s="322"/>
      <c r="C2" s="322"/>
      <c r="D2" s="322"/>
      <c r="E2" s="322"/>
      <c r="F2" s="322"/>
      <c r="G2" s="322"/>
      <c r="H2" s="322"/>
      <c r="I2" s="322"/>
      <c r="J2" s="322"/>
      <c r="K2" s="322"/>
      <c r="L2" s="322"/>
      <c r="M2" s="323"/>
    </row>
    <row r="3" spans="1:13" ht="22.5" customHeight="1" x14ac:dyDescent="0.25">
      <c r="A3" s="321" t="s">
        <v>253</v>
      </c>
      <c r="B3" s="322"/>
      <c r="C3" s="322"/>
      <c r="D3" s="322"/>
      <c r="E3" s="322"/>
      <c r="F3" s="322"/>
      <c r="G3" s="322"/>
      <c r="H3" s="322"/>
      <c r="I3" s="322"/>
      <c r="J3" s="322"/>
      <c r="K3" s="322"/>
      <c r="L3" s="322"/>
      <c r="M3" s="323"/>
    </row>
    <row r="4" spans="1:13" ht="23.25" customHeight="1" thickBot="1" x14ac:dyDescent="0.3">
      <c r="A4" s="324" t="s">
        <v>364</v>
      </c>
      <c r="B4" s="325"/>
      <c r="C4" s="325"/>
      <c r="D4" s="325"/>
      <c r="E4" s="325"/>
      <c r="F4" s="325"/>
      <c r="G4" s="325"/>
      <c r="H4" s="325"/>
      <c r="I4" s="325"/>
      <c r="J4" s="325"/>
      <c r="K4" s="325"/>
      <c r="L4" s="325"/>
      <c r="M4" s="326"/>
    </row>
    <row r="5" spans="1:13" ht="29.25" customHeight="1" thickTop="1" x14ac:dyDescent="0.25">
      <c r="A5" s="51" t="s">
        <v>143</v>
      </c>
      <c r="B5" s="52">
        <v>2021</v>
      </c>
      <c r="C5" s="52">
        <v>2022</v>
      </c>
      <c r="D5" s="52">
        <v>2023</v>
      </c>
      <c r="E5" s="52">
        <v>2024</v>
      </c>
      <c r="F5" s="52">
        <v>2025</v>
      </c>
      <c r="G5" s="52">
        <v>2026</v>
      </c>
      <c r="H5" s="52">
        <v>2027</v>
      </c>
      <c r="I5" s="53">
        <v>2028</v>
      </c>
      <c r="J5" s="52">
        <v>2029</v>
      </c>
      <c r="K5" s="52">
        <v>2030</v>
      </c>
      <c r="L5" s="52">
        <v>2031</v>
      </c>
      <c r="M5" s="52">
        <v>2032</v>
      </c>
    </row>
    <row r="6" spans="1:13" ht="19.5" customHeight="1" x14ac:dyDescent="0.25">
      <c r="A6" s="54" t="s">
        <v>144</v>
      </c>
      <c r="B6" s="55"/>
      <c r="C6" s="55"/>
      <c r="D6" s="55"/>
      <c r="E6" s="55"/>
      <c r="F6" s="55"/>
      <c r="G6" s="55"/>
      <c r="H6" s="55"/>
      <c r="I6" s="55"/>
      <c r="J6" s="55"/>
      <c r="K6" s="55"/>
      <c r="L6" s="55"/>
      <c r="M6" s="55"/>
    </row>
    <row r="7" spans="1:13" ht="18.75" customHeight="1" x14ac:dyDescent="0.25">
      <c r="A7" s="56" t="s">
        <v>145</v>
      </c>
      <c r="B7" s="57">
        <v>219415450</v>
      </c>
      <c r="C7" s="57">
        <f>B7*2/100+B7</f>
        <v>223803759</v>
      </c>
      <c r="D7" s="57">
        <f t="shared" ref="D7:K7" si="0">C7*5/100+C7</f>
        <v>234993946.94999999</v>
      </c>
      <c r="E7" s="57">
        <f t="shared" si="0"/>
        <v>246743644.29749998</v>
      </c>
      <c r="F7" s="57">
        <f t="shared" si="0"/>
        <v>259080826.512375</v>
      </c>
      <c r="G7" s="57">
        <f t="shared" si="0"/>
        <v>272034867.83799374</v>
      </c>
      <c r="H7" s="57">
        <f t="shared" si="0"/>
        <v>285636611.22989345</v>
      </c>
      <c r="I7" s="57">
        <f t="shared" si="0"/>
        <v>299918441.79138809</v>
      </c>
      <c r="J7" s="57">
        <f t="shared" si="0"/>
        <v>314914363.88095748</v>
      </c>
      <c r="K7" s="57">
        <f t="shared" si="0"/>
        <v>330660082.07500535</v>
      </c>
      <c r="L7" s="57">
        <f>J7*5/100+J7</f>
        <v>330660082.07500535</v>
      </c>
      <c r="M7" s="57">
        <f>K7*3/100+K7</f>
        <v>340579884.53725553</v>
      </c>
    </row>
    <row r="8" spans="1:13" ht="18" customHeight="1" x14ac:dyDescent="0.25">
      <c r="A8" s="56" t="s">
        <v>146</v>
      </c>
      <c r="B8" s="57">
        <v>0</v>
      </c>
      <c r="C8" s="57">
        <f>B8*15/100+B8</f>
        <v>0</v>
      </c>
      <c r="D8" s="57">
        <f t="shared" ref="D8:J8" si="1">C8*15/100+C8</f>
        <v>0</v>
      </c>
      <c r="E8" s="57">
        <f t="shared" si="1"/>
        <v>0</v>
      </c>
      <c r="F8" s="57">
        <f t="shared" si="1"/>
        <v>0</v>
      </c>
      <c r="G8" s="57">
        <f t="shared" si="1"/>
        <v>0</v>
      </c>
      <c r="H8" s="57">
        <f t="shared" si="1"/>
        <v>0</v>
      </c>
      <c r="I8" s="57">
        <f t="shared" si="1"/>
        <v>0</v>
      </c>
      <c r="J8" s="57">
        <f t="shared" si="1"/>
        <v>0</v>
      </c>
      <c r="K8" s="57">
        <f t="shared" ref="K8" si="2">J8*15/100+J8</f>
        <v>0</v>
      </c>
      <c r="L8" s="57">
        <f t="shared" ref="L8:M8" si="3">J8*15/100+J8</f>
        <v>0</v>
      </c>
      <c r="M8" s="57">
        <f t="shared" si="3"/>
        <v>0</v>
      </c>
    </row>
    <row r="9" spans="1:13" ht="25.5" customHeight="1" x14ac:dyDescent="0.25">
      <c r="A9" s="58" t="s">
        <v>147</v>
      </c>
      <c r="B9" s="59">
        <f t="shared" ref="B9:M9" si="4">SUM(B7:B8)</f>
        <v>219415450</v>
      </c>
      <c r="C9" s="59">
        <f t="shared" si="4"/>
        <v>223803759</v>
      </c>
      <c r="D9" s="59">
        <f>SUM(D7:D8)</f>
        <v>234993946.94999999</v>
      </c>
      <c r="E9" s="59">
        <f t="shared" si="4"/>
        <v>246743644.29749998</v>
      </c>
      <c r="F9" s="59">
        <f t="shared" si="4"/>
        <v>259080826.512375</v>
      </c>
      <c r="G9" s="59">
        <f t="shared" si="4"/>
        <v>272034867.83799374</v>
      </c>
      <c r="H9" s="59">
        <f t="shared" si="4"/>
        <v>285636611.22989345</v>
      </c>
      <c r="I9" s="59">
        <f t="shared" si="4"/>
        <v>299918441.79138809</v>
      </c>
      <c r="J9" s="59">
        <f t="shared" si="4"/>
        <v>314914363.88095748</v>
      </c>
      <c r="K9" s="59">
        <f t="shared" si="4"/>
        <v>330660082.07500535</v>
      </c>
      <c r="L9" s="59">
        <f t="shared" ref="L9" si="5">SUM(L7:L8)</f>
        <v>330660082.07500535</v>
      </c>
      <c r="M9" s="59">
        <f t="shared" si="4"/>
        <v>340579884.53725553</v>
      </c>
    </row>
    <row r="10" spans="1:13" x14ac:dyDescent="0.25">
      <c r="A10" s="60" t="s">
        <v>17</v>
      </c>
      <c r="B10" s="61">
        <v>0</v>
      </c>
      <c r="C10" s="61">
        <v>0</v>
      </c>
      <c r="D10" s="61">
        <v>0</v>
      </c>
      <c r="E10" s="61">
        <v>0</v>
      </c>
      <c r="F10" s="61">
        <v>0</v>
      </c>
      <c r="G10" s="61">
        <v>0</v>
      </c>
      <c r="H10" s="61">
        <v>0</v>
      </c>
      <c r="I10" s="61">
        <v>0</v>
      </c>
      <c r="J10" s="61">
        <v>0</v>
      </c>
      <c r="K10" s="61">
        <v>0</v>
      </c>
      <c r="L10" s="61">
        <v>0</v>
      </c>
      <c r="M10" s="61">
        <v>0</v>
      </c>
    </row>
    <row r="11" spans="1:13" x14ac:dyDescent="0.25">
      <c r="A11" s="55" t="s">
        <v>148</v>
      </c>
      <c r="B11" s="61">
        <v>68103204</v>
      </c>
      <c r="C11" s="61">
        <f>B11*10/100+B11</f>
        <v>74913524.400000006</v>
      </c>
      <c r="D11" s="61">
        <f t="shared" ref="D11:J11" si="6">C11*10/100+C11</f>
        <v>82404876.840000004</v>
      </c>
      <c r="E11" s="61">
        <f t="shared" si="6"/>
        <v>90645364.524000004</v>
      </c>
      <c r="F11" s="61">
        <f t="shared" si="6"/>
        <v>99709900.976400003</v>
      </c>
      <c r="G11" s="61">
        <f t="shared" si="6"/>
        <v>109680891.07404</v>
      </c>
      <c r="H11" s="61">
        <f t="shared" si="6"/>
        <v>120648980.18144399</v>
      </c>
      <c r="I11" s="61">
        <f t="shared" si="6"/>
        <v>132713878.19958839</v>
      </c>
      <c r="J11" s="61">
        <f t="shared" si="6"/>
        <v>145985266.01954722</v>
      </c>
      <c r="K11" s="61">
        <f t="shared" ref="K11" si="7">J11*10/100+J11</f>
        <v>160583792.62150195</v>
      </c>
      <c r="L11" s="61">
        <f t="shared" ref="L11:M11" si="8">J11*10/100+J11</f>
        <v>160583792.62150195</v>
      </c>
      <c r="M11" s="61">
        <f t="shared" si="8"/>
        <v>176642171.88365215</v>
      </c>
    </row>
    <row r="12" spans="1:13" x14ac:dyDescent="0.25">
      <c r="A12" s="60" t="s">
        <v>149</v>
      </c>
      <c r="B12" s="62">
        <f t="shared" ref="B12:M12" si="9">SUM(B11:B11)</f>
        <v>68103204</v>
      </c>
      <c r="C12" s="62">
        <f t="shared" si="9"/>
        <v>74913524.400000006</v>
      </c>
      <c r="D12" s="62">
        <f t="shared" si="9"/>
        <v>82404876.840000004</v>
      </c>
      <c r="E12" s="62">
        <f t="shared" si="9"/>
        <v>90645364.524000004</v>
      </c>
      <c r="F12" s="62">
        <f t="shared" si="9"/>
        <v>99709900.976400003</v>
      </c>
      <c r="G12" s="62">
        <f t="shared" si="9"/>
        <v>109680891.07404</v>
      </c>
      <c r="H12" s="62">
        <f t="shared" si="9"/>
        <v>120648980.18144399</v>
      </c>
      <c r="I12" s="62">
        <f t="shared" si="9"/>
        <v>132713878.19958839</v>
      </c>
      <c r="J12" s="62">
        <f t="shared" si="9"/>
        <v>145985266.01954722</v>
      </c>
      <c r="K12" s="62">
        <f t="shared" si="9"/>
        <v>160583792.62150195</v>
      </c>
      <c r="L12" s="62">
        <f t="shared" ref="L12" si="10">SUM(L11:L11)</f>
        <v>160583792.62150195</v>
      </c>
      <c r="M12" s="62">
        <f t="shared" si="9"/>
        <v>176642171.88365215</v>
      </c>
    </row>
    <row r="13" spans="1:13" ht="27.75" customHeight="1" x14ac:dyDescent="0.25">
      <c r="A13" s="58" t="s">
        <v>7</v>
      </c>
      <c r="B13" s="59">
        <f>B9+B12</f>
        <v>287518654</v>
      </c>
      <c r="C13" s="59">
        <f t="shared" ref="C13:M13" si="11">C9+C12</f>
        <v>298717283.39999998</v>
      </c>
      <c r="D13" s="59">
        <f t="shared" si="11"/>
        <v>317398823.78999996</v>
      </c>
      <c r="E13" s="59">
        <f t="shared" si="11"/>
        <v>337389008.8215</v>
      </c>
      <c r="F13" s="59">
        <f t="shared" si="11"/>
        <v>358790727.48877501</v>
      </c>
      <c r="G13" s="59">
        <f t="shared" si="11"/>
        <v>381715758.91203374</v>
      </c>
      <c r="H13" s="59">
        <f t="shared" si="11"/>
        <v>406285591.41133744</v>
      </c>
      <c r="I13" s="59">
        <f t="shared" si="11"/>
        <v>432632319.99097645</v>
      </c>
      <c r="J13" s="59">
        <f t="shared" si="11"/>
        <v>460899629.90050471</v>
      </c>
      <c r="K13" s="59">
        <f t="shared" si="11"/>
        <v>491243874.69650733</v>
      </c>
      <c r="L13" s="59">
        <f t="shared" ref="L13" si="12">L9+L12</f>
        <v>491243874.69650733</v>
      </c>
      <c r="M13" s="59">
        <f t="shared" si="11"/>
        <v>517222056.42090768</v>
      </c>
    </row>
    <row r="14" spans="1:13" ht="24.75" customHeight="1" x14ac:dyDescent="0.25">
      <c r="A14" s="54" t="s">
        <v>150</v>
      </c>
      <c r="B14" s="61"/>
      <c r="C14" s="61"/>
      <c r="D14" s="61"/>
      <c r="E14" s="61"/>
      <c r="F14" s="61"/>
      <c r="G14" s="61"/>
      <c r="H14" s="61"/>
      <c r="I14" s="61"/>
      <c r="J14" s="61"/>
      <c r="K14" s="61"/>
      <c r="L14" s="61"/>
      <c r="M14" s="61"/>
    </row>
    <row r="15" spans="1:13" ht="26.25" customHeight="1" x14ac:dyDescent="0.25">
      <c r="A15" s="54" t="s">
        <v>151</v>
      </c>
      <c r="B15" s="63">
        <f>SUM(B16:B18)</f>
        <v>98526000</v>
      </c>
      <c r="C15" s="63">
        <f t="shared" ref="C15:M15" si="13">SUM(C16:C18)</f>
        <v>108378600</v>
      </c>
      <c r="D15" s="63">
        <f t="shared" si="13"/>
        <v>113797530</v>
      </c>
      <c r="E15" s="63">
        <f t="shared" si="13"/>
        <v>125177283</v>
      </c>
      <c r="F15" s="63">
        <f t="shared" si="13"/>
        <v>131436147.15000001</v>
      </c>
      <c r="G15" s="63">
        <f t="shared" si="13"/>
        <v>138007954.50749999</v>
      </c>
      <c r="H15" s="63">
        <f t="shared" si="13"/>
        <v>151808749.95824999</v>
      </c>
      <c r="I15" s="63">
        <f t="shared" si="13"/>
        <v>166989624.95407498</v>
      </c>
      <c r="J15" s="63">
        <f t="shared" si="13"/>
        <v>180348794.95040098</v>
      </c>
      <c r="K15" s="63">
        <f t="shared" si="13"/>
        <v>194776698.54643306</v>
      </c>
      <c r="L15" s="63">
        <f t="shared" ref="L15" si="14">SUM(L16:L18)</f>
        <v>194776698.54643306</v>
      </c>
      <c r="M15" s="63">
        <f t="shared" si="13"/>
        <v>206463300.45921904</v>
      </c>
    </row>
    <row r="16" spans="1:13" ht="22.5" customHeight="1" x14ac:dyDescent="0.25">
      <c r="A16" s="56" t="s">
        <v>152</v>
      </c>
      <c r="B16" s="57">
        <v>98526000</v>
      </c>
      <c r="C16" s="57">
        <f>B16*10/100+B16</f>
        <v>108378600</v>
      </c>
      <c r="D16" s="57">
        <f>C16*5/100+C16</f>
        <v>113797530</v>
      </c>
      <c r="E16" s="57">
        <f t="shared" ref="E16:I16" si="15">D16*10/100+D16</f>
        <v>125177283</v>
      </c>
      <c r="F16" s="57">
        <f>E16*5/100+E16</f>
        <v>131436147.15000001</v>
      </c>
      <c r="G16" s="57">
        <f>F16*5/100+F16</f>
        <v>138007954.50749999</v>
      </c>
      <c r="H16" s="57">
        <f t="shared" si="15"/>
        <v>151808749.95824999</v>
      </c>
      <c r="I16" s="57">
        <f t="shared" si="15"/>
        <v>166989624.95407498</v>
      </c>
      <c r="J16" s="57">
        <f>I16*8/100+I16</f>
        <v>180348794.95040098</v>
      </c>
      <c r="K16" s="57">
        <f>J16*8/100+J16</f>
        <v>194776698.54643306</v>
      </c>
      <c r="L16" s="57">
        <f>J16*8/100+J16</f>
        <v>194776698.54643306</v>
      </c>
      <c r="M16" s="57">
        <f>K16*6/100+K16</f>
        <v>206463300.45921904</v>
      </c>
    </row>
    <row r="17" spans="1:14" ht="21" customHeight="1" x14ac:dyDescent="0.25">
      <c r="A17" s="56" t="s">
        <v>153</v>
      </c>
      <c r="B17" s="57">
        <v>0</v>
      </c>
      <c r="C17" s="57">
        <f t="shared" ref="C17:J17" si="16">B17*15/100+B17</f>
        <v>0</v>
      </c>
      <c r="D17" s="57">
        <f t="shared" si="16"/>
        <v>0</v>
      </c>
      <c r="E17" s="57">
        <f t="shared" si="16"/>
        <v>0</v>
      </c>
      <c r="F17" s="57">
        <f t="shared" si="16"/>
        <v>0</v>
      </c>
      <c r="G17" s="57">
        <f t="shared" si="16"/>
        <v>0</v>
      </c>
      <c r="H17" s="57">
        <f t="shared" si="16"/>
        <v>0</v>
      </c>
      <c r="I17" s="57">
        <f t="shared" si="16"/>
        <v>0</v>
      </c>
      <c r="J17" s="57">
        <f t="shared" si="16"/>
        <v>0</v>
      </c>
      <c r="K17" s="57">
        <f t="shared" ref="K17" si="17">J17*15/100+J17</f>
        <v>0</v>
      </c>
      <c r="L17" s="57">
        <f t="shared" ref="L17:M17" si="18">J17*15/100+J17</f>
        <v>0</v>
      </c>
      <c r="M17" s="57">
        <f t="shared" si="18"/>
        <v>0</v>
      </c>
    </row>
    <row r="18" spans="1:14" ht="23.25" customHeight="1" x14ac:dyDescent="0.25">
      <c r="A18" s="56" t="s">
        <v>154</v>
      </c>
      <c r="B18" s="57">
        <v>0</v>
      </c>
      <c r="C18" s="57">
        <f>B18*10/100+B18</f>
        <v>0</v>
      </c>
      <c r="D18" s="57">
        <f>C18*3/100+C18</f>
        <v>0</v>
      </c>
      <c r="E18" s="57">
        <f>D18*20/100+D18</f>
        <v>0</v>
      </c>
      <c r="F18" s="57">
        <f t="shared" ref="F18:J18" si="19">E18*10/100+E18</f>
        <v>0</v>
      </c>
      <c r="G18" s="57">
        <f t="shared" si="19"/>
        <v>0</v>
      </c>
      <c r="H18" s="57">
        <f t="shared" si="19"/>
        <v>0</v>
      </c>
      <c r="I18" s="57">
        <f t="shared" si="19"/>
        <v>0</v>
      </c>
      <c r="J18" s="57">
        <f t="shared" si="19"/>
        <v>0</v>
      </c>
      <c r="K18" s="57">
        <f t="shared" ref="K18" si="20">J18*10/100+J18</f>
        <v>0</v>
      </c>
      <c r="L18" s="57">
        <f t="shared" ref="L18:M18" si="21">J18*10/100+J18</f>
        <v>0</v>
      </c>
      <c r="M18" s="57">
        <f t="shared" si="21"/>
        <v>0</v>
      </c>
    </row>
    <row r="19" spans="1:14" ht="26.25" customHeight="1" x14ac:dyDescent="0.25">
      <c r="A19" s="54" t="s">
        <v>20</v>
      </c>
      <c r="B19" s="63">
        <f>SUM(B20:B22)</f>
        <v>42535602</v>
      </c>
      <c r="C19" s="63">
        <f t="shared" ref="C19:M19" si="22">SUM(C20:C22)</f>
        <v>43386314.039999999</v>
      </c>
      <c r="D19" s="63">
        <f t="shared" si="22"/>
        <v>44254040.320799999</v>
      </c>
      <c r="E19" s="63">
        <f t="shared" si="22"/>
        <v>45119405.547215998</v>
      </c>
      <c r="F19" s="63">
        <f t="shared" si="22"/>
        <v>45660435.333608165</v>
      </c>
      <c r="G19" s="63">
        <f t="shared" si="22"/>
        <v>46573644.040280327</v>
      </c>
      <c r="H19" s="63">
        <f t="shared" si="22"/>
        <v>47505116.921085939</v>
      </c>
      <c r="I19" s="63">
        <f t="shared" si="22"/>
        <v>48455219.259507656</v>
      </c>
      <c r="J19" s="63">
        <f t="shared" si="22"/>
        <v>49424323.644697808</v>
      </c>
      <c r="K19" s="63">
        <f t="shared" si="22"/>
        <v>50412810.117591761</v>
      </c>
      <c r="L19" s="63">
        <f t="shared" ref="L19" si="23">SUM(L20:L22)</f>
        <v>50412810.117591761</v>
      </c>
      <c r="M19" s="63">
        <f t="shared" si="22"/>
        <v>51421066.319943599</v>
      </c>
    </row>
    <row r="20" spans="1:14" ht="21.75" customHeight="1" x14ac:dyDescent="0.25">
      <c r="A20" s="56" t="s">
        <v>155</v>
      </c>
      <c r="B20" s="64">
        <v>34051602</v>
      </c>
      <c r="C20" s="65">
        <f>B20*2/100+B20</f>
        <v>34732634.039999999</v>
      </c>
      <c r="D20" s="65">
        <f t="shared" ref="D20:J22" si="24">C20*2/100+C20</f>
        <v>35427286.720799997</v>
      </c>
      <c r="E20" s="65">
        <f t="shared" si="24"/>
        <v>36135832.455215998</v>
      </c>
      <c r="F20" s="65">
        <f>E20*1/100+E20</f>
        <v>36497190.779768161</v>
      </c>
      <c r="G20" s="65">
        <f t="shared" si="24"/>
        <v>37227134.595363528</v>
      </c>
      <c r="H20" s="65">
        <f t="shared" si="24"/>
        <v>37971677.287270799</v>
      </c>
      <c r="I20" s="65">
        <f t="shared" si="24"/>
        <v>38731110.833016217</v>
      </c>
      <c r="J20" s="65">
        <f t="shared" si="24"/>
        <v>39505733.049676538</v>
      </c>
      <c r="K20" s="65">
        <f t="shared" ref="K20:K22" si="25">J20*2/100+J20</f>
        <v>40295847.710670069</v>
      </c>
      <c r="L20" s="65">
        <f t="shared" ref="L20:M22" si="26">J20*2/100+J20</f>
        <v>40295847.710670069</v>
      </c>
      <c r="M20" s="65">
        <f t="shared" si="26"/>
        <v>41101764.664883472</v>
      </c>
    </row>
    <row r="21" spans="1:14" ht="21" customHeight="1" x14ac:dyDescent="0.25">
      <c r="A21" s="56" t="s">
        <v>156</v>
      </c>
      <c r="B21" s="64">
        <v>6589000</v>
      </c>
      <c r="C21" s="65">
        <f>B21*2/100+B21</f>
        <v>6720780</v>
      </c>
      <c r="D21" s="65">
        <f t="shared" si="24"/>
        <v>6855195.5999999996</v>
      </c>
      <c r="E21" s="65">
        <f t="shared" si="24"/>
        <v>6992299.5119999992</v>
      </c>
      <c r="F21" s="65">
        <f t="shared" si="24"/>
        <v>7132145.5022399994</v>
      </c>
      <c r="G21" s="65">
        <f t="shared" si="24"/>
        <v>7274788.4122847989</v>
      </c>
      <c r="H21" s="65">
        <f t="shared" si="24"/>
        <v>7420284.180530495</v>
      </c>
      <c r="I21" s="65">
        <f t="shared" si="24"/>
        <v>7568689.8641411047</v>
      </c>
      <c r="J21" s="65">
        <f t="shared" si="24"/>
        <v>7720063.6614239272</v>
      </c>
      <c r="K21" s="65">
        <f t="shared" si="25"/>
        <v>7874464.9346524058</v>
      </c>
      <c r="L21" s="65">
        <f t="shared" si="26"/>
        <v>7874464.9346524058</v>
      </c>
      <c r="M21" s="65">
        <f t="shared" si="26"/>
        <v>8031954.2333454536</v>
      </c>
    </row>
    <row r="22" spans="1:14" ht="21" customHeight="1" x14ac:dyDescent="0.25">
      <c r="A22" s="56" t="s">
        <v>157</v>
      </c>
      <c r="B22" s="64">
        <v>1895000</v>
      </c>
      <c r="C22" s="65">
        <f>B22*2/100+B22</f>
        <v>1932900</v>
      </c>
      <c r="D22" s="65">
        <f t="shared" si="24"/>
        <v>1971558</v>
      </c>
      <c r="E22" s="65">
        <f>D22*1/100+D22</f>
        <v>1991273.58</v>
      </c>
      <c r="F22" s="65">
        <f t="shared" si="24"/>
        <v>2031099.0516000001</v>
      </c>
      <c r="G22" s="65">
        <f t="shared" si="24"/>
        <v>2071721.032632</v>
      </c>
      <c r="H22" s="65">
        <f t="shared" si="24"/>
        <v>2113155.4532846399</v>
      </c>
      <c r="I22" s="65">
        <f t="shared" si="24"/>
        <v>2155418.5623503327</v>
      </c>
      <c r="J22" s="65">
        <f t="shared" si="24"/>
        <v>2198526.9335973393</v>
      </c>
      <c r="K22" s="65">
        <f t="shared" si="25"/>
        <v>2242497.4722692859</v>
      </c>
      <c r="L22" s="65">
        <f t="shared" si="26"/>
        <v>2242497.4722692859</v>
      </c>
      <c r="M22" s="65">
        <f t="shared" si="26"/>
        <v>2287347.4217146719</v>
      </c>
    </row>
    <row r="23" spans="1:14" ht="30.75" customHeight="1" x14ac:dyDescent="0.25">
      <c r="A23" s="58" t="s">
        <v>158</v>
      </c>
      <c r="B23" s="327" t="s">
        <v>159</v>
      </c>
      <c r="C23" s="328"/>
      <c r="D23" s="59">
        <v>123400062</v>
      </c>
      <c r="E23" s="59">
        <v>123400062</v>
      </c>
      <c r="F23" s="59">
        <v>123400062</v>
      </c>
      <c r="G23" s="59">
        <v>123400062</v>
      </c>
      <c r="H23" s="59">
        <v>123400062</v>
      </c>
      <c r="I23" s="59">
        <v>123400062</v>
      </c>
      <c r="J23" s="59">
        <v>123400062</v>
      </c>
      <c r="K23" s="59">
        <v>123400062</v>
      </c>
      <c r="L23" s="59">
        <v>123400062</v>
      </c>
      <c r="M23" s="59">
        <f>123400062+5</f>
        <v>123400067</v>
      </c>
      <c r="N23" s="66">
        <f>SUM(C23:M23)</f>
        <v>1234000625</v>
      </c>
    </row>
    <row r="24" spans="1:14" ht="41.25" customHeight="1" x14ac:dyDescent="0.25">
      <c r="A24" s="58" t="s">
        <v>160</v>
      </c>
      <c r="B24" s="59">
        <f>B15+B19</f>
        <v>141061602</v>
      </c>
      <c r="C24" s="59">
        <f>C15+C19</f>
        <v>151764914.03999999</v>
      </c>
      <c r="D24" s="59">
        <f>D15+D19</f>
        <v>158051570.32080001</v>
      </c>
      <c r="E24" s="59">
        <f>E15+E19</f>
        <v>170296688.547216</v>
      </c>
      <c r="F24" s="59">
        <f t="shared" ref="F24:M24" si="27">F15+F19</f>
        <v>177096582.48360819</v>
      </c>
      <c r="G24" s="59">
        <f t="shared" si="27"/>
        <v>184581598.54778033</v>
      </c>
      <c r="H24" s="59">
        <f t="shared" si="27"/>
        <v>199313866.87933594</v>
      </c>
      <c r="I24" s="59">
        <f t="shared" si="27"/>
        <v>215444844.21358263</v>
      </c>
      <c r="J24" s="59">
        <f t="shared" si="27"/>
        <v>229773118.59509879</v>
      </c>
      <c r="K24" s="59">
        <f t="shared" si="27"/>
        <v>245189508.66402483</v>
      </c>
      <c r="L24" s="59">
        <f t="shared" ref="L24" si="28">L15+L19</f>
        <v>245189508.66402483</v>
      </c>
      <c r="M24" s="59">
        <f t="shared" si="27"/>
        <v>257884366.77916265</v>
      </c>
    </row>
    <row r="25" spans="1:14" ht="42" customHeight="1" x14ac:dyDescent="0.25">
      <c r="A25" s="58" t="s">
        <v>161</v>
      </c>
      <c r="B25" s="59">
        <f>B13-B24</f>
        <v>146457052</v>
      </c>
      <c r="C25" s="59">
        <f>C13-C15</f>
        <v>190338683.39999998</v>
      </c>
      <c r="D25" s="59">
        <f>D13-D24</f>
        <v>159347253.46919996</v>
      </c>
      <c r="E25" s="59">
        <f t="shared" ref="E25" si="29">E13-E24</f>
        <v>167092320.27428401</v>
      </c>
      <c r="F25" s="59">
        <f t="shared" ref="F25" si="30">F13-F24</f>
        <v>181694145.00516683</v>
      </c>
      <c r="G25" s="59">
        <f t="shared" ref="G25" si="31">G13-G24</f>
        <v>197134160.3642534</v>
      </c>
      <c r="H25" s="59">
        <f t="shared" ref="H25" si="32">H13-H24</f>
        <v>206971724.5320015</v>
      </c>
      <c r="I25" s="59">
        <f t="shared" ref="I25" si="33">I13-I24</f>
        <v>217187475.77739382</v>
      </c>
      <c r="J25" s="59">
        <f t="shared" ref="J25" si="34">J13-J24</f>
        <v>231126511.30540591</v>
      </c>
      <c r="K25" s="59">
        <f t="shared" ref="K25" si="35">K13-K24</f>
        <v>246054366.0324825</v>
      </c>
      <c r="L25" s="59">
        <f t="shared" ref="L25:M25" si="36">L13-L24</f>
        <v>246054366.0324825</v>
      </c>
      <c r="M25" s="59">
        <f t="shared" si="36"/>
        <v>259337689.64174503</v>
      </c>
    </row>
    <row r="26" spans="1:14" x14ac:dyDescent="0.25">
      <c r="A26" s="67"/>
      <c r="B26" s="68"/>
      <c r="C26" s="68"/>
      <c r="D26" s="68"/>
      <c r="E26" s="68"/>
      <c r="F26" s="68"/>
      <c r="G26" s="68"/>
      <c r="H26" s="68"/>
      <c r="I26" s="68"/>
      <c r="J26" s="68"/>
      <c r="K26" s="68"/>
      <c r="L26" s="68"/>
      <c r="M26" s="68"/>
    </row>
    <row r="27" spans="1:14" x14ac:dyDescent="0.25">
      <c r="A27" s="69"/>
      <c r="B27" s="69"/>
      <c r="C27" s="69"/>
      <c r="D27" s="69"/>
      <c r="E27" s="69"/>
      <c r="F27" s="69"/>
      <c r="G27" s="69"/>
      <c r="H27" s="69"/>
      <c r="I27" s="69"/>
      <c r="J27" s="69"/>
      <c r="K27" s="69"/>
      <c r="L27" s="69"/>
      <c r="M27" s="69"/>
    </row>
    <row r="28" spans="1:14" x14ac:dyDescent="0.25">
      <c r="A28" s="69"/>
      <c r="B28" s="69"/>
      <c r="C28" s="69"/>
      <c r="D28" s="69"/>
      <c r="E28" s="69"/>
      <c r="F28" s="69"/>
      <c r="G28" s="69"/>
      <c r="H28" s="69"/>
      <c r="I28" s="69"/>
      <c r="J28" s="69"/>
      <c r="K28" s="69"/>
      <c r="L28" s="69"/>
      <c r="M28" s="69"/>
    </row>
    <row r="31" spans="1:14" ht="15.75" x14ac:dyDescent="0.25">
      <c r="A31" s="329"/>
      <c r="B31" s="329"/>
      <c r="C31" s="329"/>
      <c r="D31" s="329"/>
      <c r="E31" s="329"/>
      <c r="F31" s="70"/>
      <c r="G31" s="329"/>
      <c r="H31" s="329"/>
      <c r="I31" s="329"/>
      <c r="J31" s="329"/>
      <c r="K31" s="329"/>
      <c r="L31" s="329"/>
      <c r="M31" s="329"/>
    </row>
    <row r="32" spans="1:14" ht="15.75" x14ac:dyDescent="0.25">
      <c r="A32" s="319"/>
      <c r="B32" s="319"/>
      <c r="C32" s="319"/>
      <c r="D32" s="319"/>
      <c r="E32" s="319"/>
      <c r="F32" s="71"/>
      <c r="G32" s="319"/>
      <c r="H32" s="319"/>
      <c r="I32" s="319"/>
      <c r="J32" s="319"/>
      <c r="K32" s="319"/>
      <c r="L32" s="319"/>
      <c r="M32" s="319"/>
    </row>
    <row r="33" spans="1:5" x14ac:dyDescent="0.25">
      <c r="A33" s="72"/>
    </row>
    <row r="34" spans="1:5" x14ac:dyDescent="0.25">
      <c r="A34" s="73"/>
      <c r="D34" s="320"/>
      <c r="E34" s="320"/>
    </row>
    <row r="35" spans="1:5" x14ac:dyDescent="0.25">
      <c r="A35" s="73"/>
    </row>
    <row r="41" spans="1:5" x14ac:dyDescent="0.25">
      <c r="E41" s="160"/>
    </row>
    <row r="42" spans="1:5" x14ac:dyDescent="0.25">
      <c r="E42" s="159"/>
    </row>
  </sheetData>
  <mergeCells count="9">
    <mergeCell ref="A32:E32"/>
    <mergeCell ref="G32:M32"/>
    <mergeCell ref="D34:E34"/>
    <mergeCell ref="A2:M2"/>
    <mergeCell ref="A3:M3"/>
    <mergeCell ref="A4:M4"/>
    <mergeCell ref="B23:C23"/>
    <mergeCell ref="A31:E31"/>
    <mergeCell ref="G31:M31"/>
  </mergeCells>
  <pageMargins left="0.70866141732283472" right="0.70866141732283472" top="0.94488188976377963" bottom="0.74803149606299213" header="0.31496062992125984" footer="0.31496062992125984"/>
  <pageSetup paperSize="14" scale="6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4419-8B5D-4322-B484-F0EDED04864D}">
  <sheetPr>
    <pageSetUpPr fitToPage="1"/>
  </sheetPr>
  <dimension ref="A1:F40"/>
  <sheetViews>
    <sheetView topLeftCell="A19" workbookViewId="0">
      <selection activeCell="A34" sqref="A34"/>
    </sheetView>
  </sheetViews>
  <sheetFormatPr baseColWidth="10" defaultRowHeight="15" x14ac:dyDescent="0.25"/>
  <cols>
    <col min="2" max="2" width="27.5703125" customWidth="1"/>
    <col min="3" max="3" width="25.85546875" customWidth="1"/>
    <col min="4" max="4" width="15.28515625" customWidth="1"/>
    <col min="6" max="6" width="12.5703125" bestFit="1" customWidth="1"/>
  </cols>
  <sheetData>
    <row r="1" spans="1:5" ht="15.75" thickBot="1" x14ac:dyDescent="0.3">
      <c r="A1" s="1"/>
      <c r="B1" s="1"/>
      <c r="C1" s="1"/>
      <c r="D1" s="1"/>
    </row>
    <row r="2" spans="1:5" ht="18" customHeight="1" thickTop="1" x14ac:dyDescent="0.25">
      <c r="A2" s="305" t="s">
        <v>252</v>
      </c>
      <c r="B2" s="305"/>
      <c r="C2" s="305"/>
      <c r="D2" s="305"/>
    </row>
    <row r="3" spans="1:5" ht="20.25" customHeight="1" x14ac:dyDescent="0.25">
      <c r="A3" s="305" t="s">
        <v>253</v>
      </c>
      <c r="B3" s="305"/>
      <c r="C3" s="305"/>
      <c r="D3" s="305"/>
    </row>
    <row r="4" spans="1:5" ht="16.5" customHeight="1" x14ac:dyDescent="0.25">
      <c r="A4" s="305" t="s">
        <v>0</v>
      </c>
      <c r="B4" s="305"/>
      <c r="C4" s="305"/>
      <c r="D4" s="305"/>
    </row>
    <row r="5" spans="1:5" ht="17.25" customHeight="1" thickBot="1" x14ac:dyDescent="0.3">
      <c r="A5" s="306" t="s">
        <v>28</v>
      </c>
      <c r="B5" s="306"/>
      <c r="C5" s="306"/>
      <c r="D5" s="306"/>
    </row>
    <row r="6" spans="1:5" ht="17.25" customHeight="1" thickTop="1" thickBot="1" x14ac:dyDescent="0.3">
      <c r="A6" s="2"/>
      <c r="B6" s="2"/>
      <c r="C6" s="2"/>
      <c r="D6" s="3" t="s">
        <v>2</v>
      </c>
    </row>
    <row r="7" spans="1:5" ht="19.5" customHeight="1" thickTop="1" x14ac:dyDescent="0.25">
      <c r="A7" s="2"/>
      <c r="B7" s="2"/>
      <c r="C7" s="2"/>
      <c r="D7" s="4">
        <v>2019</v>
      </c>
      <c r="E7" s="5"/>
    </row>
    <row r="8" spans="1:5" ht="21" customHeight="1" x14ac:dyDescent="0.25">
      <c r="A8" s="6" t="s">
        <v>3</v>
      </c>
      <c r="B8" s="7"/>
      <c r="C8" s="7"/>
      <c r="D8" s="8"/>
    </row>
    <row r="9" spans="1:5" x14ac:dyDescent="0.25">
      <c r="A9" s="6" t="s">
        <v>4</v>
      </c>
      <c r="B9" s="7"/>
      <c r="C9" s="7"/>
      <c r="D9" s="9"/>
    </row>
    <row r="10" spans="1:5" x14ac:dyDescent="0.25">
      <c r="A10" s="7" t="s">
        <v>5</v>
      </c>
      <c r="B10" s="7"/>
      <c r="C10" s="7"/>
      <c r="D10" s="10">
        <v>1520293214</v>
      </c>
    </row>
    <row r="11" spans="1:5" x14ac:dyDescent="0.25">
      <c r="A11" s="7" t="s">
        <v>6</v>
      </c>
      <c r="B11" s="7"/>
      <c r="C11" s="7"/>
      <c r="D11" s="10">
        <v>8619716</v>
      </c>
    </row>
    <row r="12" spans="1:5" ht="25.5" customHeight="1" x14ac:dyDescent="0.25">
      <c r="A12" s="307" t="s">
        <v>7</v>
      </c>
      <c r="B12" s="307"/>
      <c r="C12" s="11"/>
      <c r="D12" s="12">
        <f>D10-D11</f>
        <v>1511673498</v>
      </c>
    </row>
    <row r="13" spans="1:5" ht="18" customHeight="1" x14ac:dyDescent="0.25">
      <c r="A13" s="13" t="s">
        <v>8</v>
      </c>
      <c r="B13" s="13"/>
      <c r="C13" s="7"/>
      <c r="D13" s="14">
        <f>D14</f>
        <v>1010010647</v>
      </c>
    </row>
    <row r="14" spans="1:5" x14ac:dyDescent="0.25">
      <c r="A14" s="7" t="s">
        <v>9</v>
      </c>
      <c r="B14" s="7"/>
      <c r="C14" s="7"/>
      <c r="D14" s="15">
        <v>1010010647</v>
      </c>
    </row>
    <row r="15" spans="1:5" x14ac:dyDescent="0.25">
      <c r="A15" s="13" t="s">
        <v>10</v>
      </c>
      <c r="B15" s="13"/>
      <c r="C15" s="7"/>
      <c r="D15" s="14">
        <f>D12-D13</f>
        <v>501662851</v>
      </c>
    </row>
    <row r="16" spans="1:5" ht="19.5" customHeight="1" x14ac:dyDescent="0.25">
      <c r="A16" s="304" t="s">
        <v>11</v>
      </c>
      <c r="B16" s="304"/>
      <c r="C16" s="304"/>
      <c r="D16" s="16">
        <v>0</v>
      </c>
    </row>
    <row r="17" spans="1:6" x14ac:dyDescent="0.25">
      <c r="A17" s="308" t="s">
        <v>12</v>
      </c>
      <c r="B17" s="308"/>
      <c r="C17" s="308"/>
      <c r="D17" s="16">
        <v>187957531</v>
      </c>
      <c r="F17" s="149"/>
    </row>
    <row r="18" spans="1:6" x14ac:dyDescent="0.25">
      <c r="A18" s="7" t="s">
        <v>13</v>
      </c>
      <c r="B18" s="7"/>
      <c r="C18" s="7"/>
      <c r="D18" s="16">
        <v>139438239</v>
      </c>
      <c r="F18" s="149"/>
    </row>
    <row r="19" spans="1:6" ht="20.25" customHeight="1" x14ac:dyDescent="0.25">
      <c r="A19" s="17" t="s">
        <v>14</v>
      </c>
      <c r="B19" s="17"/>
      <c r="C19" s="17"/>
      <c r="D19" s="16">
        <v>0</v>
      </c>
    </row>
    <row r="20" spans="1:6" ht="23.25" customHeight="1" x14ac:dyDescent="0.25">
      <c r="A20" s="309" t="s">
        <v>15</v>
      </c>
      <c r="B20" s="309"/>
      <c r="C20" s="7"/>
      <c r="D20" s="18">
        <f>SUM(D17:D19)</f>
        <v>327395770</v>
      </c>
    </row>
    <row r="21" spans="1:6" x14ac:dyDescent="0.25">
      <c r="A21" s="19" t="s">
        <v>16</v>
      </c>
      <c r="B21" s="19"/>
      <c r="C21" s="11"/>
      <c r="D21" s="20">
        <f>D15-D20</f>
        <v>174267081</v>
      </c>
    </row>
    <row r="22" spans="1:6" x14ac:dyDescent="0.25">
      <c r="A22" s="13" t="s">
        <v>17</v>
      </c>
      <c r="B22" s="13"/>
      <c r="C22" s="7"/>
      <c r="D22" s="14">
        <f>SUM(D23:D24)</f>
        <v>14200211</v>
      </c>
      <c r="F22" s="149"/>
    </row>
    <row r="23" spans="1:6" x14ac:dyDescent="0.25">
      <c r="A23" s="7" t="s">
        <v>18</v>
      </c>
      <c r="B23" s="13"/>
      <c r="C23" s="7"/>
      <c r="D23" s="16">
        <v>1494</v>
      </c>
      <c r="F23" s="149"/>
    </row>
    <row r="24" spans="1:6" x14ac:dyDescent="0.25">
      <c r="A24" s="7" t="s">
        <v>19</v>
      </c>
      <c r="B24" s="7"/>
      <c r="C24" s="7"/>
      <c r="D24" s="15">
        <v>14198717</v>
      </c>
    </row>
    <row r="25" spans="1:6" x14ac:dyDescent="0.25">
      <c r="A25" s="13" t="s">
        <v>204</v>
      </c>
      <c r="B25" s="13"/>
      <c r="C25" s="7"/>
      <c r="D25" s="14">
        <f>SUM(D26:D27)</f>
        <v>54049329</v>
      </c>
    </row>
    <row r="26" spans="1:6" x14ac:dyDescent="0.25">
      <c r="A26" s="7" t="s">
        <v>21</v>
      </c>
      <c r="B26" s="7"/>
      <c r="C26" s="7"/>
      <c r="D26" s="16">
        <v>54049329</v>
      </c>
      <c r="F26" s="149"/>
    </row>
    <row r="27" spans="1:6" x14ac:dyDescent="0.25">
      <c r="A27" s="7" t="s">
        <v>22</v>
      </c>
      <c r="B27" s="7"/>
      <c r="C27" s="7"/>
      <c r="D27" s="15">
        <v>0</v>
      </c>
    </row>
    <row r="28" spans="1:6" x14ac:dyDescent="0.25">
      <c r="A28" s="7" t="s">
        <v>23</v>
      </c>
      <c r="B28" s="7"/>
      <c r="C28" s="7"/>
      <c r="D28" s="14">
        <f>D21+D22-D25</f>
        <v>134417963</v>
      </c>
    </row>
    <row r="29" spans="1:6" x14ac:dyDescent="0.25">
      <c r="A29" s="7" t="s">
        <v>24</v>
      </c>
      <c r="B29" s="7"/>
      <c r="C29" s="7"/>
      <c r="D29" s="16">
        <v>0</v>
      </c>
    </row>
    <row r="30" spans="1:6" ht="17.25" customHeight="1" x14ac:dyDescent="0.25">
      <c r="A30" s="13" t="s">
        <v>25</v>
      </c>
      <c r="B30" s="13"/>
      <c r="C30" s="7"/>
      <c r="D30" s="14">
        <f>SUM(D28:D29)</f>
        <v>134417963</v>
      </c>
    </row>
    <row r="31" spans="1:6" x14ac:dyDescent="0.25">
      <c r="A31" s="7" t="s">
        <v>26</v>
      </c>
      <c r="B31" s="7"/>
      <c r="C31" s="7"/>
      <c r="D31" s="15">
        <v>0</v>
      </c>
    </row>
    <row r="32" spans="1:6" ht="25.5" customHeight="1" thickBot="1" x14ac:dyDescent="0.3">
      <c r="A32" s="19" t="s">
        <v>27</v>
      </c>
      <c r="B32" s="19"/>
      <c r="C32" s="11"/>
      <c r="D32" s="21">
        <f>SUM(D30:D31)</f>
        <v>134417963</v>
      </c>
    </row>
    <row r="33" spans="1:4" ht="15.75" thickTop="1" x14ac:dyDescent="0.25">
      <c r="A33" s="22"/>
      <c r="B33" s="22"/>
      <c r="C33" s="22"/>
      <c r="D33" s="22"/>
    </row>
    <row r="34" spans="1:4" x14ac:dyDescent="0.25">
      <c r="A34" s="22"/>
      <c r="B34" s="22"/>
      <c r="C34" s="22"/>
      <c r="D34" s="22"/>
    </row>
    <row r="35" spans="1:4" x14ac:dyDescent="0.25">
      <c r="A35" s="23"/>
      <c r="B35" s="23"/>
      <c r="C35" s="22"/>
      <c r="D35" s="22"/>
    </row>
    <row r="36" spans="1:4" x14ac:dyDescent="0.25">
      <c r="A36" s="23"/>
      <c r="B36" s="23"/>
      <c r="C36" s="22"/>
      <c r="D36" s="22"/>
    </row>
    <row r="37" spans="1:4" x14ac:dyDescent="0.25">
      <c r="A37" s="23"/>
      <c r="B37" s="23"/>
      <c r="C37" s="24"/>
      <c r="D37" s="25"/>
    </row>
    <row r="38" spans="1:4" ht="15" customHeight="1" x14ac:dyDescent="0.25">
      <c r="A38" s="312"/>
      <c r="B38" s="312"/>
      <c r="C38" s="310"/>
      <c r="D38" s="310"/>
    </row>
    <row r="39" spans="1:4" x14ac:dyDescent="0.25">
      <c r="A39" s="311"/>
      <c r="B39" s="311"/>
      <c r="C39" s="311"/>
      <c r="D39" s="311"/>
    </row>
    <row r="40" spans="1:4" x14ac:dyDescent="0.25">
      <c r="C40" s="28"/>
      <c r="D40" s="28"/>
    </row>
  </sheetData>
  <mergeCells count="12">
    <mergeCell ref="A17:C17"/>
    <mergeCell ref="A38:B38"/>
    <mergeCell ref="C38:D38"/>
    <mergeCell ref="C39:D39"/>
    <mergeCell ref="A20:B20"/>
    <mergeCell ref="A39:B39"/>
    <mergeCell ref="A16:C16"/>
    <mergeCell ref="A2:D2"/>
    <mergeCell ref="A3:D3"/>
    <mergeCell ref="A4:D4"/>
    <mergeCell ref="A5:D5"/>
    <mergeCell ref="A12:B12"/>
  </mergeCells>
  <pageMargins left="0.9055118110236221" right="0.70866141732283472" top="1.5354330708661419" bottom="0.74803149606299213" header="0.31496062992125984" footer="0.31496062992125984"/>
  <pageSetup scale="9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90630-4728-47A6-9D31-E993AD983F61}">
  <sheetPr>
    <pageSetUpPr fitToPage="1"/>
  </sheetPr>
  <dimension ref="A1:J100"/>
  <sheetViews>
    <sheetView topLeftCell="A17" zoomScale="80" zoomScaleNormal="80" workbookViewId="0">
      <selection activeCell="A91" sqref="A91"/>
    </sheetView>
  </sheetViews>
  <sheetFormatPr baseColWidth="10" defaultRowHeight="15" x14ac:dyDescent="0.25"/>
  <cols>
    <col min="1" max="1" width="61.28515625" customWidth="1"/>
    <col min="2" max="3" width="19.85546875" customWidth="1"/>
    <col min="4" max="4" width="19.42578125" customWidth="1"/>
    <col min="5" max="5" width="51.7109375" customWidth="1"/>
    <col min="6" max="6" width="4.85546875" customWidth="1"/>
    <col min="7" max="7" width="23" customWidth="1"/>
    <col min="10" max="10" width="13.85546875" bestFit="1" customWidth="1"/>
  </cols>
  <sheetData>
    <row r="1" spans="1:7" ht="15.75" thickBot="1" x14ac:dyDescent="0.3"/>
    <row r="2" spans="1:7" ht="30.75" customHeight="1" x14ac:dyDescent="0.25">
      <c r="A2" s="347" t="s">
        <v>252</v>
      </c>
      <c r="B2" s="348"/>
      <c r="C2" s="348"/>
      <c r="D2" s="348"/>
      <c r="E2" s="348"/>
      <c r="F2" s="348"/>
      <c r="G2" s="349"/>
    </row>
    <row r="3" spans="1:7" ht="30.75" customHeight="1" x14ac:dyDescent="0.25">
      <c r="A3" s="350" t="s">
        <v>162</v>
      </c>
      <c r="B3" s="351"/>
      <c r="C3" s="351"/>
      <c r="D3" s="351"/>
      <c r="E3" s="351"/>
      <c r="F3" s="351"/>
      <c r="G3" s="352"/>
    </row>
    <row r="4" spans="1:7" ht="30" customHeight="1" thickBot="1" x14ac:dyDescent="0.3">
      <c r="A4" s="353" t="s">
        <v>376</v>
      </c>
      <c r="B4" s="354"/>
      <c r="C4" s="354"/>
      <c r="D4" s="354"/>
      <c r="E4" s="354"/>
      <c r="F4" s="354"/>
      <c r="G4" s="355"/>
    </row>
    <row r="5" spans="1:7" ht="44.25" customHeight="1" thickTop="1" thickBot="1" x14ac:dyDescent="0.3">
      <c r="A5" s="233" t="s">
        <v>163</v>
      </c>
      <c r="B5" s="140" t="s">
        <v>164</v>
      </c>
      <c r="C5" s="141" t="s">
        <v>165</v>
      </c>
      <c r="D5" s="141" t="s">
        <v>166</v>
      </c>
      <c r="E5" s="140" t="s">
        <v>167</v>
      </c>
      <c r="F5" s="141"/>
      <c r="G5" s="234" t="s">
        <v>168</v>
      </c>
    </row>
    <row r="6" spans="1:7" ht="28.5" customHeight="1" thickTop="1" x14ac:dyDescent="0.25">
      <c r="A6" s="235" t="s">
        <v>169</v>
      </c>
      <c r="B6" s="139"/>
      <c r="C6" s="138"/>
      <c r="D6" s="138"/>
      <c r="E6" s="138"/>
      <c r="F6" s="71"/>
      <c r="G6" s="236"/>
    </row>
    <row r="7" spans="1:7" x14ac:dyDescent="0.25">
      <c r="A7" s="237" t="s">
        <v>170</v>
      </c>
      <c r="B7" s="223"/>
      <c r="C7" s="224">
        <f>B8</f>
        <v>1287780</v>
      </c>
      <c r="D7" s="359"/>
      <c r="E7" s="342" t="s">
        <v>356</v>
      </c>
      <c r="F7" s="162"/>
      <c r="G7" s="238" t="s">
        <v>171</v>
      </c>
    </row>
    <row r="8" spans="1:7" s="28" customFormat="1" ht="35.1" customHeight="1" x14ac:dyDescent="0.25">
      <c r="A8" s="239" t="s">
        <v>172</v>
      </c>
      <c r="B8" s="163">
        <v>1287780</v>
      </c>
      <c r="C8" s="161"/>
      <c r="D8" s="360"/>
      <c r="E8" s="346"/>
      <c r="F8" s="164"/>
      <c r="G8" s="240"/>
    </row>
    <row r="9" spans="1:7" ht="11.25" customHeight="1" x14ac:dyDescent="0.25">
      <c r="A9" s="241"/>
      <c r="B9" s="165"/>
      <c r="C9" s="166"/>
      <c r="D9" s="359"/>
      <c r="E9" s="342" t="s">
        <v>356</v>
      </c>
      <c r="F9" s="242"/>
      <c r="G9" s="362" t="s">
        <v>171</v>
      </c>
    </row>
    <row r="10" spans="1:7" ht="24.75" customHeight="1" x14ac:dyDescent="0.25">
      <c r="A10" s="237" t="s">
        <v>173</v>
      </c>
      <c r="B10" s="224"/>
      <c r="C10" s="225">
        <f>B11</f>
        <v>16400000</v>
      </c>
      <c r="D10" s="361"/>
      <c r="E10" s="343"/>
      <c r="F10" s="243"/>
      <c r="G10" s="363"/>
    </row>
    <row r="11" spans="1:7" ht="30.95" customHeight="1" x14ac:dyDescent="0.25">
      <c r="A11" s="244" t="s">
        <v>357</v>
      </c>
      <c r="B11" s="168">
        <v>16400000</v>
      </c>
      <c r="C11" s="169"/>
      <c r="D11" s="361"/>
      <c r="E11" s="343"/>
      <c r="F11" s="245"/>
      <c r="G11" s="363"/>
    </row>
    <row r="12" spans="1:7" ht="90" x14ac:dyDescent="0.25">
      <c r="A12" s="246" t="s">
        <v>358</v>
      </c>
      <c r="B12" s="161"/>
      <c r="C12" s="167"/>
      <c r="D12" s="360"/>
      <c r="E12" s="346"/>
      <c r="F12" s="245"/>
      <c r="G12" s="364"/>
    </row>
    <row r="13" spans="1:7" ht="21" customHeight="1" x14ac:dyDescent="0.25">
      <c r="A13" s="247"/>
      <c r="B13" s="165"/>
      <c r="C13" s="169"/>
      <c r="D13" s="170"/>
      <c r="E13" s="170"/>
      <c r="F13" s="245"/>
      <c r="G13" s="240"/>
    </row>
    <row r="14" spans="1:7" x14ac:dyDescent="0.25">
      <c r="A14" s="248" t="s">
        <v>359</v>
      </c>
      <c r="B14" s="224"/>
      <c r="C14" s="225">
        <f>B15</f>
        <v>100824202</v>
      </c>
      <c r="D14" s="171"/>
      <c r="E14" s="342" t="s">
        <v>356</v>
      </c>
      <c r="F14" s="172"/>
      <c r="G14" s="249"/>
    </row>
    <row r="15" spans="1:7" ht="30" x14ac:dyDescent="0.25">
      <c r="A15" s="250" t="s">
        <v>360</v>
      </c>
      <c r="B15" s="161">
        <v>100824202</v>
      </c>
      <c r="C15" s="167"/>
      <c r="D15" s="171"/>
      <c r="E15" s="346"/>
      <c r="F15" s="172"/>
      <c r="G15" s="238" t="s">
        <v>171</v>
      </c>
    </row>
    <row r="16" spans="1:7" x14ac:dyDescent="0.25">
      <c r="A16" s="251"/>
      <c r="B16" s="168"/>
      <c r="C16" s="174"/>
      <c r="D16" s="175"/>
      <c r="E16" s="176"/>
      <c r="F16" s="162"/>
      <c r="G16" s="252"/>
    </row>
    <row r="17" spans="1:7" ht="45" x14ac:dyDescent="0.25">
      <c r="A17" s="253" t="s">
        <v>35</v>
      </c>
      <c r="B17" s="226">
        <v>136565722</v>
      </c>
      <c r="C17" s="227">
        <f>B17</f>
        <v>136565722</v>
      </c>
      <c r="D17" s="175"/>
      <c r="E17" s="173" t="s">
        <v>356</v>
      </c>
      <c r="F17" s="162"/>
      <c r="G17" s="238" t="s">
        <v>171</v>
      </c>
    </row>
    <row r="18" spans="1:7" x14ac:dyDescent="0.25">
      <c r="A18" s="251"/>
      <c r="B18" s="168"/>
      <c r="C18" s="174"/>
      <c r="D18" s="175"/>
      <c r="E18" s="176"/>
      <c r="F18" s="162"/>
      <c r="G18" s="252"/>
    </row>
    <row r="19" spans="1:7" ht="45" x14ac:dyDescent="0.25">
      <c r="A19" s="253" t="s">
        <v>361</v>
      </c>
      <c r="B19" s="226">
        <v>73570016</v>
      </c>
      <c r="C19" s="227">
        <f>B19</f>
        <v>73570016</v>
      </c>
      <c r="D19" s="175"/>
      <c r="E19" s="173" t="s">
        <v>356</v>
      </c>
      <c r="F19" s="162"/>
      <c r="G19" s="238" t="s">
        <v>171</v>
      </c>
    </row>
    <row r="20" spans="1:7" x14ac:dyDescent="0.25">
      <c r="A20" s="251"/>
      <c r="B20" s="168"/>
      <c r="C20" s="174"/>
      <c r="D20" s="175"/>
      <c r="E20" s="176"/>
      <c r="F20" s="162"/>
      <c r="G20" s="252"/>
    </row>
    <row r="21" spans="1:7" ht="60" x14ac:dyDescent="0.25">
      <c r="A21" s="253" t="s">
        <v>365</v>
      </c>
      <c r="B21" s="226">
        <v>300000</v>
      </c>
      <c r="C21" s="227">
        <f>B21</f>
        <v>300000</v>
      </c>
      <c r="D21" s="175"/>
      <c r="E21" s="173" t="s">
        <v>356</v>
      </c>
      <c r="F21" s="162"/>
      <c r="G21" s="238" t="s">
        <v>171</v>
      </c>
    </row>
    <row r="22" spans="1:7" x14ac:dyDescent="0.25">
      <c r="A22" s="251"/>
      <c r="B22" s="168"/>
      <c r="C22" s="174"/>
      <c r="D22" s="175"/>
      <c r="E22" s="176"/>
      <c r="F22" s="162"/>
      <c r="G22" s="252"/>
    </row>
    <row r="23" spans="1:7" ht="30" x14ac:dyDescent="0.25">
      <c r="A23" s="253" t="s">
        <v>362</v>
      </c>
      <c r="B23" s="226">
        <v>600000000</v>
      </c>
      <c r="C23" s="227">
        <f>B23</f>
        <v>600000000</v>
      </c>
      <c r="D23" s="175"/>
      <c r="E23" s="342" t="s">
        <v>356</v>
      </c>
      <c r="F23" s="162"/>
      <c r="G23" s="362" t="s">
        <v>171</v>
      </c>
    </row>
    <row r="24" spans="1:7" ht="150" x14ac:dyDescent="0.25">
      <c r="A24" s="251" t="s">
        <v>363</v>
      </c>
      <c r="B24" s="168"/>
      <c r="C24" s="174"/>
      <c r="D24" s="175"/>
      <c r="E24" s="346"/>
      <c r="F24" s="162"/>
      <c r="G24" s="364"/>
    </row>
    <row r="25" spans="1:7" ht="43.5" customHeight="1" thickBot="1" x14ac:dyDescent="0.3">
      <c r="A25" s="254" t="s">
        <v>175</v>
      </c>
      <c r="B25" s="177"/>
      <c r="C25" s="229">
        <f>SUM(C7:C23)</f>
        <v>928947720</v>
      </c>
      <c r="D25" s="177"/>
      <c r="E25" s="178"/>
      <c r="F25" s="179"/>
      <c r="G25" s="255"/>
    </row>
    <row r="26" spans="1:7" ht="12.75" customHeight="1" thickTop="1" x14ac:dyDescent="0.25">
      <c r="A26" s="256"/>
      <c r="B26" s="180"/>
      <c r="C26" s="180"/>
      <c r="D26" s="180"/>
      <c r="E26" s="181"/>
      <c r="F26" s="257"/>
      <c r="G26" s="258"/>
    </row>
    <row r="27" spans="1:7" ht="15" customHeight="1" x14ac:dyDescent="0.25">
      <c r="A27" s="259" t="s">
        <v>176</v>
      </c>
      <c r="B27" s="182"/>
      <c r="C27" s="182"/>
      <c r="D27" s="182"/>
      <c r="E27" s="183"/>
      <c r="F27" s="189"/>
      <c r="G27" s="258"/>
    </row>
    <row r="28" spans="1:7" ht="8.25" customHeight="1" x14ac:dyDescent="0.25">
      <c r="A28" s="260"/>
      <c r="B28" s="182"/>
      <c r="C28" s="182"/>
      <c r="D28" s="182"/>
      <c r="E28" s="183"/>
      <c r="F28" s="189"/>
      <c r="G28" s="258"/>
    </row>
    <row r="29" spans="1:7" ht="23.25" customHeight="1" x14ac:dyDescent="0.25">
      <c r="A29" s="247"/>
      <c r="B29" s="182"/>
      <c r="C29" s="182"/>
      <c r="D29" s="228">
        <f>B31+B37+B48+B53+B57+B61+B64+B67+B71</f>
        <v>1234000625</v>
      </c>
      <c r="E29" s="170" t="s">
        <v>171</v>
      </c>
      <c r="F29" s="245"/>
      <c r="G29" s="258"/>
    </row>
    <row r="30" spans="1:7" ht="12" customHeight="1" x14ac:dyDescent="0.25">
      <c r="A30" s="241"/>
      <c r="B30" s="182"/>
      <c r="C30" s="182"/>
      <c r="D30" s="182"/>
      <c r="E30" s="183"/>
      <c r="F30" s="189"/>
      <c r="G30" s="258"/>
    </row>
    <row r="31" spans="1:7" ht="45" customHeight="1" x14ac:dyDescent="0.25">
      <c r="A31" s="237" t="s">
        <v>254</v>
      </c>
      <c r="B31" s="230">
        <f>SUM(B32:B35)</f>
        <v>34843000</v>
      </c>
      <c r="C31" s="184"/>
      <c r="D31" s="184"/>
      <c r="E31" s="176" t="s">
        <v>171</v>
      </c>
      <c r="F31" s="185"/>
      <c r="G31" s="336" t="s">
        <v>177</v>
      </c>
    </row>
    <row r="32" spans="1:7" x14ac:dyDescent="0.25">
      <c r="A32" s="247" t="s">
        <v>330</v>
      </c>
      <c r="B32" s="180">
        <v>12795000</v>
      </c>
      <c r="C32" s="180"/>
      <c r="D32" s="182"/>
      <c r="E32" s="186"/>
      <c r="F32" s="187"/>
      <c r="G32" s="337"/>
    </row>
    <row r="33" spans="1:10" x14ac:dyDescent="0.25">
      <c r="A33" s="247" t="s">
        <v>331</v>
      </c>
      <c r="B33" s="180">
        <v>13966000</v>
      </c>
      <c r="C33" s="180"/>
      <c r="D33" s="182"/>
      <c r="E33" s="186"/>
      <c r="F33" s="187"/>
      <c r="G33" s="337"/>
    </row>
    <row r="34" spans="1:10" x14ac:dyDescent="0.25">
      <c r="A34" s="247" t="s">
        <v>332</v>
      </c>
      <c r="B34" s="180">
        <v>7871000</v>
      </c>
      <c r="C34" s="180"/>
      <c r="D34" s="182"/>
      <c r="E34" s="186"/>
      <c r="F34" s="187"/>
      <c r="G34" s="337"/>
    </row>
    <row r="35" spans="1:10" x14ac:dyDescent="0.25">
      <c r="A35" s="241" t="s">
        <v>333</v>
      </c>
      <c r="B35" s="188">
        <v>211000</v>
      </c>
      <c r="C35" s="188"/>
      <c r="D35" s="182"/>
      <c r="E35" s="183"/>
      <c r="F35" s="189"/>
      <c r="G35" s="337"/>
    </row>
    <row r="36" spans="1:10" ht="15" customHeight="1" x14ac:dyDescent="0.25">
      <c r="A36" s="241"/>
      <c r="B36" s="188"/>
      <c r="C36" s="182"/>
      <c r="D36" s="182"/>
      <c r="E36" s="183"/>
      <c r="F36" s="189"/>
      <c r="G36" s="338"/>
    </row>
    <row r="37" spans="1:10" ht="15" customHeight="1" x14ac:dyDescent="0.25">
      <c r="A37" s="237" t="s">
        <v>221</v>
      </c>
      <c r="B37" s="230">
        <f>SUM(B39:B45)</f>
        <v>392993000</v>
      </c>
      <c r="C37" s="190"/>
      <c r="D37" s="190"/>
      <c r="E37" s="191" t="s">
        <v>171</v>
      </c>
      <c r="F37" s="192"/>
      <c r="G37" s="336" t="s">
        <v>177</v>
      </c>
    </row>
    <row r="38" spans="1:10" ht="15" customHeight="1" x14ac:dyDescent="0.25">
      <c r="A38" s="247"/>
      <c r="B38" s="193"/>
      <c r="C38" s="194"/>
      <c r="D38" s="194"/>
      <c r="E38" s="195"/>
      <c r="F38" s="196"/>
      <c r="G38" s="337"/>
    </row>
    <row r="39" spans="1:10" ht="15" customHeight="1" x14ac:dyDescent="0.25">
      <c r="A39" s="241" t="s">
        <v>334</v>
      </c>
      <c r="B39" s="197">
        <v>220894000</v>
      </c>
      <c r="C39" s="197"/>
      <c r="D39" s="194"/>
      <c r="E39" s="198"/>
      <c r="F39" s="183"/>
      <c r="G39" s="337"/>
    </row>
    <row r="40" spans="1:10" ht="15" customHeight="1" x14ac:dyDescent="0.25">
      <c r="A40" s="241" t="s">
        <v>335</v>
      </c>
      <c r="B40" s="197">
        <v>18296000</v>
      </c>
      <c r="C40" s="197"/>
      <c r="D40" s="194"/>
      <c r="E40" s="198"/>
      <c r="F40" s="183"/>
      <c r="G40" s="337"/>
      <c r="J40" s="149"/>
    </row>
    <row r="41" spans="1:10" ht="15" customHeight="1" x14ac:dyDescent="0.25">
      <c r="A41" s="241" t="s">
        <v>336</v>
      </c>
      <c r="B41" s="197">
        <v>26139000</v>
      </c>
      <c r="C41" s="194"/>
      <c r="D41" s="194"/>
      <c r="E41" s="198"/>
      <c r="F41" s="183"/>
      <c r="G41" s="337"/>
    </row>
    <row r="42" spans="1:10" ht="15" customHeight="1" x14ac:dyDescent="0.25">
      <c r="A42" s="241" t="s">
        <v>337</v>
      </c>
      <c r="B42" s="197">
        <v>105660000</v>
      </c>
      <c r="C42" s="194"/>
      <c r="D42" s="194"/>
      <c r="E42" s="198"/>
      <c r="F42" s="183"/>
      <c r="G42" s="337"/>
    </row>
    <row r="43" spans="1:10" ht="15" customHeight="1" x14ac:dyDescent="0.25">
      <c r="A43" s="241" t="s">
        <v>338</v>
      </c>
      <c r="B43" s="197">
        <v>2899000</v>
      </c>
      <c r="C43" s="194"/>
      <c r="D43" s="194"/>
      <c r="E43" s="198"/>
      <c r="F43" s="183"/>
      <c r="G43" s="337"/>
    </row>
    <row r="44" spans="1:10" ht="15" customHeight="1" x14ac:dyDescent="0.25">
      <c r="A44" s="241" t="s">
        <v>339</v>
      </c>
      <c r="B44" s="197">
        <v>6327000</v>
      </c>
      <c r="C44" s="194"/>
      <c r="D44" s="194"/>
      <c r="E44" s="198"/>
      <c r="F44" s="183"/>
      <c r="G44" s="337"/>
    </row>
    <row r="45" spans="1:10" ht="15" customHeight="1" x14ac:dyDescent="0.25">
      <c r="A45" s="241" t="s">
        <v>340</v>
      </c>
      <c r="B45" s="197">
        <v>12778000</v>
      </c>
      <c r="C45" s="194"/>
      <c r="D45" s="194"/>
      <c r="E45" s="198"/>
      <c r="F45" s="183"/>
      <c r="G45" s="337"/>
    </row>
    <row r="46" spans="1:10" ht="15" customHeight="1" x14ac:dyDescent="0.25">
      <c r="A46" s="241"/>
      <c r="B46" s="197"/>
      <c r="C46" s="194"/>
      <c r="D46" s="194"/>
      <c r="E46" s="198"/>
      <c r="F46" s="183"/>
      <c r="G46" s="338"/>
    </row>
    <row r="47" spans="1:10" ht="15" customHeight="1" x14ac:dyDescent="0.25">
      <c r="A47" s="261"/>
      <c r="B47" s="199"/>
      <c r="C47" s="200"/>
      <c r="D47" s="200"/>
      <c r="E47" s="201"/>
      <c r="F47" s="202"/>
      <c r="G47" s="262"/>
    </row>
    <row r="48" spans="1:10" x14ac:dyDescent="0.25">
      <c r="A48" s="237" t="s">
        <v>341</v>
      </c>
      <c r="B48" s="231">
        <f>SUM(B49:B51)</f>
        <v>25639000</v>
      </c>
      <c r="C48" s="182"/>
      <c r="D48" s="182"/>
      <c r="E48" s="176" t="s">
        <v>171</v>
      </c>
      <c r="F48" s="189"/>
      <c r="G48" s="336" t="s">
        <v>177</v>
      </c>
    </row>
    <row r="49" spans="1:7" ht="15" customHeight="1" x14ac:dyDescent="0.25">
      <c r="A49" s="241" t="s">
        <v>342</v>
      </c>
      <c r="B49" s="188">
        <v>11832000</v>
      </c>
      <c r="C49" s="182"/>
      <c r="D49" s="182"/>
      <c r="E49" s="183"/>
      <c r="F49" s="189"/>
      <c r="G49" s="337"/>
    </row>
    <row r="50" spans="1:7" ht="15" customHeight="1" x14ac:dyDescent="0.25">
      <c r="A50" s="241" t="s">
        <v>343</v>
      </c>
      <c r="B50" s="188">
        <v>13807000</v>
      </c>
      <c r="C50" s="182"/>
      <c r="D50" s="182"/>
      <c r="E50" s="183"/>
      <c r="F50" s="189"/>
      <c r="G50" s="337"/>
    </row>
    <row r="51" spans="1:7" ht="15" customHeight="1" x14ac:dyDescent="0.25">
      <c r="A51" s="241"/>
      <c r="B51" s="188"/>
      <c r="C51" s="182"/>
      <c r="D51" s="182"/>
      <c r="E51" s="183"/>
      <c r="F51" s="189"/>
      <c r="G51" s="338"/>
    </row>
    <row r="52" spans="1:7" ht="15" customHeight="1" x14ac:dyDescent="0.25">
      <c r="A52" s="261"/>
      <c r="B52" s="203"/>
      <c r="C52" s="204"/>
      <c r="D52" s="204"/>
      <c r="E52" s="202"/>
      <c r="F52" s="205"/>
      <c r="G52" s="263"/>
    </row>
    <row r="53" spans="1:7" x14ac:dyDescent="0.25">
      <c r="A53" s="237" t="s">
        <v>279</v>
      </c>
      <c r="B53" s="231">
        <f>B54</f>
        <v>184789000</v>
      </c>
      <c r="C53" s="184"/>
      <c r="D53" s="184"/>
      <c r="E53" s="176" t="s">
        <v>171</v>
      </c>
      <c r="F53" s="206"/>
      <c r="G53" s="336" t="s">
        <v>177</v>
      </c>
    </row>
    <row r="54" spans="1:7" x14ac:dyDescent="0.25">
      <c r="A54" s="241" t="s">
        <v>344</v>
      </c>
      <c r="B54" s="188">
        <v>184789000</v>
      </c>
      <c r="C54" s="182"/>
      <c r="D54" s="182"/>
      <c r="E54" s="186"/>
      <c r="F54" s="189"/>
      <c r="G54" s="337"/>
    </row>
    <row r="55" spans="1:7" ht="15" customHeight="1" x14ac:dyDescent="0.25">
      <c r="A55" s="264"/>
      <c r="B55" s="207"/>
      <c r="C55" s="208"/>
      <c r="D55" s="208"/>
      <c r="E55" s="209"/>
      <c r="F55" s="210"/>
      <c r="G55" s="265"/>
    </row>
    <row r="56" spans="1:7" x14ac:dyDescent="0.25">
      <c r="A56" s="261"/>
      <c r="B56" s="199"/>
      <c r="C56" s="200"/>
      <c r="D56" s="200"/>
      <c r="E56" s="201"/>
      <c r="F56" s="202"/>
      <c r="G56" s="266"/>
    </row>
    <row r="57" spans="1:7" x14ac:dyDescent="0.25">
      <c r="A57" s="237" t="s">
        <v>249</v>
      </c>
      <c r="B57" s="230">
        <f>SUM(B58:B59)</f>
        <v>332000</v>
      </c>
      <c r="C57" s="194"/>
      <c r="D57" s="194"/>
      <c r="E57" s="195" t="s">
        <v>171</v>
      </c>
      <c r="F57" s="211"/>
      <c r="G57" s="336" t="s">
        <v>177</v>
      </c>
    </row>
    <row r="58" spans="1:7" x14ac:dyDescent="0.25">
      <c r="A58" s="241" t="s">
        <v>345</v>
      </c>
      <c r="B58" s="197">
        <v>332000</v>
      </c>
      <c r="C58" s="194"/>
      <c r="D58" s="194"/>
      <c r="E58" s="198"/>
      <c r="F58" s="183"/>
      <c r="G58" s="337"/>
    </row>
    <row r="59" spans="1:7" x14ac:dyDescent="0.25">
      <c r="A59" s="247"/>
      <c r="B59" s="197"/>
      <c r="C59" s="194"/>
      <c r="D59" s="194"/>
      <c r="E59" s="198"/>
      <c r="F59" s="183"/>
      <c r="G59" s="337"/>
    </row>
    <row r="60" spans="1:7" x14ac:dyDescent="0.25">
      <c r="A60" s="261"/>
      <c r="B60" s="199"/>
      <c r="C60" s="200"/>
      <c r="D60" s="200"/>
      <c r="E60" s="201"/>
      <c r="F60" s="202"/>
      <c r="G60" s="262"/>
    </row>
    <row r="61" spans="1:7" x14ac:dyDescent="0.25">
      <c r="A61" s="237" t="s">
        <v>284</v>
      </c>
      <c r="B61" s="231">
        <v>1356000</v>
      </c>
      <c r="C61" s="184"/>
      <c r="D61" s="184"/>
      <c r="E61" s="176" t="s">
        <v>171</v>
      </c>
      <c r="F61" s="206"/>
      <c r="G61" s="336" t="s">
        <v>177</v>
      </c>
    </row>
    <row r="62" spans="1:7" x14ac:dyDescent="0.25">
      <c r="A62" s="241" t="s">
        <v>346</v>
      </c>
      <c r="B62" s="188">
        <v>1356000</v>
      </c>
      <c r="C62" s="182"/>
      <c r="D62" s="194"/>
      <c r="E62" s="202"/>
      <c r="F62" s="189"/>
      <c r="G62" s="338"/>
    </row>
    <row r="63" spans="1:7" x14ac:dyDescent="0.25">
      <c r="A63" s="267"/>
      <c r="B63" s="212"/>
      <c r="C63" s="212"/>
      <c r="D63" s="213"/>
      <c r="E63" s="214"/>
      <c r="F63" s="215"/>
      <c r="G63" s="263"/>
    </row>
    <row r="64" spans="1:7" x14ac:dyDescent="0.25">
      <c r="A64" s="237" t="s">
        <v>289</v>
      </c>
      <c r="B64" s="230">
        <f>SUM(B65:B65)</f>
        <v>3436000</v>
      </c>
      <c r="C64" s="194"/>
      <c r="D64" s="194"/>
      <c r="E64" s="342" t="s">
        <v>171</v>
      </c>
      <c r="F64" s="211"/>
      <c r="G64" s="336" t="s">
        <v>177</v>
      </c>
    </row>
    <row r="65" spans="1:7" x14ac:dyDescent="0.25">
      <c r="A65" s="241" t="s">
        <v>347</v>
      </c>
      <c r="B65" s="197">
        <v>3436000</v>
      </c>
      <c r="C65" s="194"/>
      <c r="D65" s="194"/>
      <c r="E65" s="343"/>
      <c r="F65" s="183"/>
      <c r="G65" s="337"/>
    </row>
    <row r="66" spans="1:7" x14ac:dyDescent="0.25">
      <c r="A66" s="339"/>
      <c r="B66" s="340"/>
      <c r="C66" s="340"/>
      <c r="D66" s="340"/>
      <c r="E66" s="341"/>
      <c r="F66" s="245"/>
      <c r="G66" s="258"/>
    </row>
    <row r="67" spans="1:7" ht="15.6" customHeight="1" x14ac:dyDescent="0.25">
      <c r="A67" s="237" t="s">
        <v>293</v>
      </c>
      <c r="B67" s="231">
        <f>B68</f>
        <v>7155000</v>
      </c>
      <c r="C67" s="344"/>
      <c r="D67" s="344"/>
      <c r="E67" s="342" t="s">
        <v>171</v>
      </c>
      <c r="F67" s="189"/>
      <c r="G67" s="336" t="s">
        <v>177</v>
      </c>
    </row>
    <row r="68" spans="1:7" x14ac:dyDescent="0.25">
      <c r="A68" s="241" t="s">
        <v>348</v>
      </c>
      <c r="B68" s="203">
        <v>7155000</v>
      </c>
      <c r="C68" s="345"/>
      <c r="D68" s="345"/>
      <c r="E68" s="346"/>
      <c r="F68" s="189"/>
      <c r="G68" s="337"/>
    </row>
    <row r="69" spans="1:7" x14ac:dyDescent="0.25">
      <c r="A69" s="356"/>
      <c r="B69" s="357"/>
      <c r="C69" s="357"/>
      <c r="D69" s="357"/>
      <c r="E69" s="358"/>
      <c r="F69" s="189"/>
      <c r="G69" s="337"/>
    </row>
    <row r="70" spans="1:7" x14ac:dyDescent="0.25">
      <c r="A70" s="365" t="s">
        <v>222</v>
      </c>
      <c r="B70" s="366"/>
      <c r="C70" s="216"/>
      <c r="D70" s="216"/>
      <c r="E70" s="217"/>
      <c r="F70" s="189"/>
      <c r="G70" s="268"/>
    </row>
    <row r="71" spans="1:7" x14ac:dyDescent="0.25">
      <c r="A71" s="237" t="s">
        <v>222</v>
      </c>
      <c r="B71" s="231">
        <f>SUM(B72:B83)</f>
        <v>583457625</v>
      </c>
      <c r="C71" s="344"/>
      <c r="D71" s="344"/>
      <c r="E71" s="342" t="s">
        <v>171</v>
      </c>
      <c r="F71" s="189"/>
      <c r="G71" s="268"/>
    </row>
    <row r="72" spans="1:7" x14ac:dyDescent="0.25">
      <c r="A72" s="269" t="s">
        <v>297</v>
      </c>
      <c r="B72" s="218">
        <v>12791000</v>
      </c>
      <c r="C72" s="367"/>
      <c r="D72" s="367"/>
      <c r="E72" s="343"/>
      <c r="F72" s="189"/>
      <c r="G72" s="336" t="s">
        <v>177</v>
      </c>
    </row>
    <row r="73" spans="1:7" x14ac:dyDescent="0.25">
      <c r="A73" s="269" t="s">
        <v>302</v>
      </c>
      <c r="B73" s="219">
        <v>22777355</v>
      </c>
      <c r="C73" s="367"/>
      <c r="D73" s="367"/>
      <c r="E73" s="343"/>
      <c r="F73" s="189"/>
      <c r="G73" s="337"/>
    </row>
    <row r="74" spans="1:7" x14ac:dyDescent="0.25">
      <c r="A74" s="269" t="s">
        <v>305</v>
      </c>
      <c r="B74" s="218">
        <v>342922079</v>
      </c>
      <c r="C74" s="367"/>
      <c r="D74" s="367"/>
      <c r="E74" s="343"/>
      <c r="F74" s="189"/>
      <c r="G74" s="337"/>
    </row>
    <row r="75" spans="1:7" x14ac:dyDescent="0.25">
      <c r="A75" s="269" t="s">
        <v>308</v>
      </c>
      <c r="B75" s="218">
        <v>1154182</v>
      </c>
      <c r="C75" s="367"/>
      <c r="D75" s="367"/>
      <c r="E75" s="343"/>
      <c r="F75" s="189"/>
      <c r="G75" s="337"/>
    </row>
    <row r="76" spans="1:7" x14ac:dyDescent="0.25">
      <c r="A76" s="269" t="s">
        <v>311</v>
      </c>
      <c r="B76" s="218">
        <v>41472550</v>
      </c>
      <c r="C76" s="367"/>
      <c r="D76" s="367"/>
      <c r="E76" s="343"/>
      <c r="F76" s="189"/>
      <c r="G76" s="337"/>
    </row>
    <row r="77" spans="1:7" x14ac:dyDescent="0.25">
      <c r="A77" s="269" t="s">
        <v>312</v>
      </c>
      <c r="B77" s="218">
        <v>11046651</v>
      </c>
      <c r="C77" s="367"/>
      <c r="D77" s="367"/>
      <c r="E77" s="343"/>
      <c r="F77" s="189"/>
      <c r="G77" s="337"/>
    </row>
    <row r="78" spans="1:7" x14ac:dyDescent="0.25">
      <c r="A78" s="269" t="s">
        <v>315</v>
      </c>
      <c r="B78" s="218">
        <v>3256500</v>
      </c>
      <c r="C78" s="367"/>
      <c r="D78" s="367"/>
      <c r="E78" s="343"/>
      <c r="F78" s="189"/>
      <c r="G78" s="337"/>
    </row>
    <row r="79" spans="1:7" x14ac:dyDescent="0.25">
      <c r="A79" s="269" t="s">
        <v>318</v>
      </c>
      <c r="B79" s="218">
        <v>1368776</v>
      </c>
      <c r="C79" s="367"/>
      <c r="D79" s="367"/>
      <c r="E79" s="343"/>
      <c r="F79" s="189"/>
      <c r="G79" s="337"/>
    </row>
    <row r="80" spans="1:7" x14ac:dyDescent="0.25">
      <c r="A80" s="269" t="s">
        <v>320</v>
      </c>
      <c r="B80" s="218">
        <v>24139750</v>
      </c>
      <c r="C80" s="367"/>
      <c r="D80" s="367"/>
      <c r="E80" s="343"/>
      <c r="F80" s="189"/>
      <c r="G80" s="337"/>
    </row>
    <row r="81" spans="1:7" x14ac:dyDescent="0.25">
      <c r="A81" s="269" t="s">
        <v>323</v>
      </c>
      <c r="B81" s="218">
        <v>31538728</v>
      </c>
      <c r="C81" s="367"/>
      <c r="D81" s="367"/>
      <c r="E81" s="343"/>
      <c r="F81" s="189"/>
      <c r="G81" s="337"/>
    </row>
    <row r="82" spans="1:7" x14ac:dyDescent="0.25">
      <c r="A82" s="269" t="s">
        <v>326</v>
      </c>
      <c r="B82" s="219">
        <v>85267872</v>
      </c>
      <c r="C82" s="367"/>
      <c r="D82" s="367"/>
      <c r="E82" s="343"/>
      <c r="F82" s="189"/>
      <c r="G82" s="337"/>
    </row>
    <row r="83" spans="1:7" x14ac:dyDescent="0.25">
      <c r="A83" s="269" t="s">
        <v>329</v>
      </c>
      <c r="B83" s="219">
        <v>5722182</v>
      </c>
      <c r="C83" s="345"/>
      <c r="D83" s="345"/>
      <c r="E83" s="346"/>
      <c r="F83" s="189"/>
      <c r="G83" s="337"/>
    </row>
    <row r="84" spans="1:7" x14ac:dyDescent="0.25">
      <c r="A84" s="241"/>
      <c r="B84" s="188"/>
      <c r="C84" s="182"/>
      <c r="D84" s="182"/>
      <c r="E84" s="183"/>
      <c r="F84" s="189"/>
      <c r="G84" s="337"/>
    </row>
    <row r="85" spans="1:7" x14ac:dyDescent="0.25">
      <c r="A85" s="241"/>
      <c r="B85" s="182"/>
      <c r="C85" s="182"/>
      <c r="D85" s="182"/>
      <c r="E85" s="183"/>
      <c r="F85" s="189"/>
      <c r="G85" s="337"/>
    </row>
    <row r="86" spans="1:7" ht="15.75" thickBot="1" x14ac:dyDescent="0.3">
      <c r="A86" s="270" t="s">
        <v>178</v>
      </c>
      <c r="B86" s="220"/>
      <c r="C86" s="220"/>
      <c r="D86" s="232">
        <f>SUM(D29:D83)</f>
        <v>1234000625</v>
      </c>
      <c r="E86" s="221"/>
      <c r="F86" s="222"/>
      <c r="G86" s="368"/>
    </row>
    <row r="87" spans="1:7" ht="15" customHeight="1" thickTop="1" x14ac:dyDescent="0.25">
      <c r="A87" s="271"/>
      <c r="B87" s="272"/>
      <c r="C87" s="272"/>
      <c r="D87" s="273"/>
      <c r="E87" s="274"/>
      <c r="F87" s="274"/>
      <c r="G87" s="275"/>
    </row>
    <row r="88" spans="1:7" ht="14.45" customHeight="1" x14ac:dyDescent="0.25">
      <c r="A88" s="276"/>
      <c r="G88" s="275"/>
    </row>
    <row r="89" spans="1:7" ht="14.45" customHeight="1" x14ac:dyDescent="0.25">
      <c r="A89" s="276"/>
      <c r="G89" s="275"/>
    </row>
    <row r="90" spans="1:7" ht="14.45" customHeight="1" x14ac:dyDescent="0.25">
      <c r="A90" s="276"/>
      <c r="D90" s="149"/>
      <c r="E90" s="149"/>
      <c r="G90" s="275"/>
    </row>
    <row r="91" spans="1:7" ht="14.45" customHeight="1" x14ac:dyDescent="0.25">
      <c r="A91" s="276"/>
      <c r="D91" s="149"/>
      <c r="E91" s="149"/>
      <c r="G91" s="275"/>
    </row>
    <row r="92" spans="1:7" ht="17.100000000000001" customHeight="1" x14ac:dyDescent="0.25">
      <c r="A92" s="276"/>
      <c r="G92" s="275"/>
    </row>
    <row r="93" spans="1:7" ht="17.100000000000001" customHeight="1" x14ac:dyDescent="0.25">
      <c r="A93" s="276"/>
      <c r="G93" s="275"/>
    </row>
    <row r="94" spans="1:7" ht="14.45" customHeight="1" x14ac:dyDescent="0.25">
      <c r="A94" s="276"/>
      <c r="G94" s="275"/>
    </row>
    <row r="95" spans="1:7" ht="15.75" x14ac:dyDescent="0.25">
      <c r="A95" s="332"/>
      <c r="B95" s="333"/>
      <c r="C95" s="330"/>
      <c r="D95" s="330"/>
      <c r="E95" s="330"/>
      <c r="F95" s="330"/>
      <c r="G95" s="275"/>
    </row>
    <row r="96" spans="1:7" ht="15.75" x14ac:dyDescent="0.25">
      <c r="A96" s="334"/>
      <c r="B96" s="335"/>
      <c r="C96" s="331"/>
      <c r="D96" s="331"/>
      <c r="E96" s="331"/>
      <c r="F96" s="331"/>
      <c r="G96" s="275"/>
    </row>
    <row r="97" spans="1:7" ht="14.45" customHeight="1" thickBot="1" x14ac:dyDescent="0.3">
      <c r="A97" s="277"/>
      <c r="B97" s="278"/>
      <c r="C97" s="278"/>
      <c r="D97" s="278"/>
      <c r="E97" s="278"/>
      <c r="F97" s="278"/>
      <c r="G97" s="279"/>
    </row>
    <row r="98" spans="1:7" x14ac:dyDescent="0.25">
      <c r="A98" s="73"/>
    </row>
    <row r="99" spans="1:7" x14ac:dyDescent="0.25">
      <c r="A99" s="73"/>
    </row>
    <row r="100" spans="1:7" x14ac:dyDescent="0.25">
      <c r="A100" s="73"/>
    </row>
  </sheetData>
  <mergeCells count="34">
    <mergeCell ref="A70:B70"/>
    <mergeCell ref="C71:C83"/>
    <mergeCell ref="D71:D83"/>
    <mergeCell ref="E71:E83"/>
    <mergeCell ref="G72:G86"/>
    <mergeCell ref="A2:G2"/>
    <mergeCell ref="A3:G3"/>
    <mergeCell ref="A4:G4"/>
    <mergeCell ref="G67:G69"/>
    <mergeCell ref="A69:E69"/>
    <mergeCell ref="D7:D8"/>
    <mergeCell ref="E7:E8"/>
    <mergeCell ref="E9:E12"/>
    <mergeCell ref="D9:D12"/>
    <mergeCell ref="G9:G12"/>
    <mergeCell ref="E14:E15"/>
    <mergeCell ref="E23:E24"/>
    <mergeCell ref="G23:G24"/>
    <mergeCell ref="C95:F95"/>
    <mergeCell ref="C96:F96"/>
    <mergeCell ref="A95:B95"/>
    <mergeCell ref="A96:B96"/>
    <mergeCell ref="G31:G36"/>
    <mergeCell ref="G37:G46"/>
    <mergeCell ref="G48:G51"/>
    <mergeCell ref="G53:G54"/>
    <mergeCell ref="G57:G59"/>
    <mergeCell ref="G61:G62"/>
    <mergeCell ref="G64:G65"/>
    <mergeCell ref="A66:E66"/>
    <mergeCell ref="E64:E65"/>
    <mergeCell ref="C67:C68"/>
    <mergeCell ref="D67:D68"/>
    <mergeCell ref="E67:E68"/>
  </mergeCells>
  <phoneticPr fontId="44" type="noConversion"/>
  <pageMargins left="0.9055118110236221" right="0.9055118110236221" top="1.5354330708661419" bottom="0.74803149606299213" header="0.31496062992125984" footer="0.31496062992125984"/>
  <pageSetup scale="58"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4932-2950-4E53-A4B2-C4190E9B3BA9}">
  <sheetPr>
    <pageSetUpPr fitToPage="1"/>
  </sheetPr>
  <dimension ref="A2:E30"/>
  <sheetViews>
    <sheetView workbookViewId="0">
      <selection activeCell="B27" sqref="B27"/>
    </sheetView>
  </sheetViews>
  <sheetFormatPr baseColWidth="10" defaultRowHeight="15" x14ac:dyDescent="0.25"/>
  <cols>
    <col min="2" max="2" width="40.42578125" customWidth="1"/>
    <col min="3" max="3" width="14.140625" customWidth="1"/>
    <col min="4" max="4" width="16.7109375" customWidth="1"/>
    <col min="5" max="5" width="35.85546875" customWidth="1"/>
  </cols>
  <sheetData>
    <row r="2" spans="1:5" ht="43.5" customHeight="1" x14ac:dyDescent="0.25">
      <c r="A2" s="369" t="s">
        <v>210</v>
      </c>
      <c r="B2" s="370"/>
      <c r="C2" s="370"/>
      <c r="D2" s="370"/>
      <c r="E2" s="370"/>
    </row>
    <row r="3" spans="1:5" ht="30" customHeight="1" x14ac:dyDescent="0.25">
      <c r="A3" s="144" t="s">
        <v>211</v>
      </c>
      <c r="B3" s="144" t="s">
        <v>212</v>
      </c>
      <c r="C3" s="144" t="s">
        <v>213</v>
      </c>
      <c r="D3" s="144" t="s">
        <v>214</v>
      </c>
      <c r="E3" s="144" t="s">
        <v>215</v>
      </c>
    </row>
    <row r="4" spans="1:5" ht="19.5" customHeight="1" x14ac:dyDescent="0.25">
      <c r="A4" s="143">
        <v>1</v>
      </c>
      <c r="B4" s="142" t="s">
        <v>244</v>
      </c>
      <c r="C4" s="145">
        <v>1100000</v>
      </c>
      <c r="D4" s="145">
        <f>A4*C4</f>
        <v>1100000</v>
      </c>
      <c r="E4" s="146" t="s">
        <v>218</v>
      </c>
    </row>
    <row r="5" spans="1:5" ht="20.25" customHeight="1" x14ac:dyDescent="0.25">
      <c r="A5" s="143">
        <v>1</v>
      </c>
      <c r="B5" s="142" t="s">
        <v>227</v>
      </c>
      <c r="C5" s="145">
        <v>500000</v>
      </c>
      <c r="D5" s="145">
        <f t="shared" ref="D5:D14" si="0">A5*C5</f>
        <v>500000</v>
      </c>
      <c r="E5" s="146" t="s">
        <v>218</v>
      </c>
    </row>
    <row r="6" spans="1:5" ht="20.25" customHeight="1" x14ac:dyDescent="0.25">
      <c r="A6" s="143">
        <v>1</v>
      </c>
      <c r="B6" s="142" t="s">
        <v>217</v>
      </c>
      <c r="C6" s="145">
        <v>350000</v>
      </c>
      <c r="D6" s="145">
        <f t="shared" si="0"/>
        <v>350000</v>
      </c>
      <c r="E6" s="146" t="s">
        <v>218</v>
      </c>
    </row>
    <row r="7" spans="1:5" ht="21" customHeight="1" x14ac:dyDescent="0.25">
      <c r="A7" s="143">
        <v>1</v>
      </c>
      <c r="B7" s="142" t="s">
        <v>216</v>
      </c>
      <c r="C7" s="145">
        <v>200000</v>
      </c>
      <c r="D7" s="145">
        <f t="shared" si="0"/>
        <v>200000</v>
      </c>
      <c r="E7" s="146" t="s">
        <v>218</v>
      </c>
    </row>
    <row r="8" spans="1:5" ht="21" customHeight="1" x14ac:dyDescent="0.25">
      <c r="A8" s="143">
        <v>1</v>
      </c>
      <c r="B8" s="142" t="s">
        <v>228</v>
      </c>
      <c r="C8" s="145">
        <v>150000</v>
      </c>
      <c r="D8" s="145">
        <f t="shared" si="0"/>
        <v>150000</v>
      </c>
      <c r="E8" s="146" t="s">
        <v>218</v>
      </c>
    </row>
    <row r="9" spans="1:5" ht="20.25" customHeight="1" x14ac:dyDescent="0.25">
      <c r="A9" s="143">
        <v>1</v>
      </c>
      <c r="B9" s="142" t="s">
        <v>229</v>
      </c>
      <c r="C9" s="145">
        <v>269000</v>
      </c>
      <c r="D9" s="145">
        <f t="shared" si="0"/>
        <v>269000</v>
      </c>
      <c r="E9" s="146" t="s">
        <v>218</v>
      </c>
    </row>
    <row r="10" spans="1:5" ht="21.75" customHeight="1" x14ac:dyDescent="0.25">
      <c r="A10" s="143">
        <v>1</v>
      </c>
      <c r="B10" s="142" t="s">
        <v>230</v>
      </c>
      <c r="C10" s="145">
        <v>150000</v>
      </c>
      <c r="D10" s="145">
        <f t="shared" si="0"/>
        <v>150000</v>
      </c>
      <c r="E10" s="146" t="s">
        <v>218</v>
      </c>
    </row>
    <row r="11" spans="1:5" ht="21.75" customHeight="1" x14ac:dyDescent="0.25">
      <c r="A11" s="143">
        <v>1</v>
      </c>
      <c r="B11" s="142" t="s">
        <v>231</v>
      </c>
      <c r="C11" s="145">
        <v>250000</v>
      </c>
      <c r="D11" s="145">
        <f t="shared" si="0"/>
        <v>250000</v>
      </c>
      <c r="E11" s="146" t="s">
        <v>218</v>
      </c>
    </row>
    <row r="12" spans="1:5" ht="21.75" customHeight="1" x14ac:dyDescent="0.25">
      <c r="A12" s="143">
        <v>1</v>
      </c>
      <c r="B12" s="142" t="s">
        <v>232</v>
      </c>
      <c r="C12" s="145">
        <v>360000</v>
      </c>
      <c r="D12" s="145">
        <f t="shared" si="0"/>
        <v>360000</v>
      </c>
      <c r="E12" s="146" t="s">
        <v>218</v>
      </c>
    </row>
    <row r="13" spans="1:5" ht="21" customHeight="1" x14ac:dyDescent="0.25">
      <c r="A13" s="143">
        <v>1</v>
      </c>
      <c r="B13" s="142" t="s">
        <v>233</v>
      </c>
      <c r="C13" s="145">
        <v>58000</v>
      </c>
      <c r="D13" s="145">
        <f t="shared" si="0"/>
        <v>58000</v>
      </c>
      <c r="E13" s="146" t="s">
        <v>218</v>
      </c>
    </row>
    <row r="14" spans="1:5" ht="20.25" customHeight="1" x14ac:dyDescent="0.25">
      <c r="A14" s="143">
        <v>1</v>
      </c>
      <c r="B14" s="142" t="s">
        <v>234</v>
      </c>
      <c r="C14" s="145">
        <v>210000</v>
      </c>
      <c r="D14" s="145">
        <f t="shared" si="0"/>
        <v>210000</v>
      </c>
      <c r="E14" s="146" t="s">
        <v>218</v>
      </c>
    </row>
    <row r="15" spans="1:5" ht="21" customHeight="1" x14ac:dyDescent="0.25">
      <c r="A15" s="143">
        <v>1</v>
      </c>
      <c r="B15" s="142" t="s">
        <v>235</v>
      </c>
      <c r="C15" s="145">
        <v>105000</v>
      </c>
      <c r="D15" s="145">
        <f>C15</f>
        <v>105000</v>
      </c>
      <c r="E15" s="146" t="s">
        <v>218</v>
      </c>
    </row>
    <row r="16" spans="1:5" ht="21" customHeight="1" x14ac:dyDescent="0.25">
      <c r="A16" s="143">
        <v>1</v>
      </c>
      <c r="B16" s="142" t="s">
        <v>236</v>
      </c>
      <c r="C16" s="145">
        <v>79000</v>
      </c>
      <c r="D16" s="145">
        <f t="shared" ref="D16:D24" si="1">A16*C16</f>
        <v>79000</v>
      </c>
      <c r="E16" s="146" t="s">
        <v>218</v>
      </c>
    </row>
    <row r="17" spans="1:5" ht="21" customHeight="1" x14ac:dyDescent="0.25">
      <c r="A17" s="143">
        <v>1</v>
      </c>
      <c r="B17" s="142" t="s">
        <v>237</v>
      </c>
      <c r="C17" s="145">
        <v>90000</v>
      </c>
      <c r="D17" s="145">
        <f t="shared" si="1"/>
        <v>90000</v>
      </c>
      <c r="E17" s="146" t="s">
        <v>218</v>
      </c>
    </row>
    <row r="18" spans="1:5" ht="21" customHeight="1" x14ac:dyDescent="0.25">
      <c r="A18" s="143">
        <v>1</v>
      </c>
      <c r="B18" s="142" t="s">
        <v>238</v>
      </c>
      <c r="C18" s="145">
        <v>120000</v>
      </c>
      <c r="D18" s="145">
        <f t="shared" si="1"/>
        <v>120000</v>
      </c>
      <c r="E18" s="146" t="s">
        <v>218</v>
      </c>
    </row>
    <row r="19" spans="1:5" ht="21" customHeight="1" x14ac:dyDescent="0.25">
      <c r="A19" s="143">
        <v>1</v>
      </c>
      <c r="B19" s="142" t="s">
        <v>239</v>
      </c>
      <c r="C19" s="145">
        <v>80000</v>
      </c>
      <c r="D19" s="145">
        <f t="shared" si="1"/>
        <v>80000</v>
      </c>
      <c r="E19" s="146" t="s">
        <v>218</v>
      </c>
    </row>
    <row r="20" spans="1:5" ht="21" customHeight="1" x14ac:dyDescent="0.25">
      <c r="A20" s="143">
        <v>1</v>
      </c>
      <c r="B20" s="142" t="s">
        <v>240</v>
      </c>
      <c r="C20" s="145">
        <v>460000</v>
      </c>
      <c r="D20" s="145">
        <f t="shared" si="1"/>
        <v>460000</v>
      </c>
      <c r="E20" s="146" t="s">
        <v>218</v>
      </c>
    </row>
    <row r="21" spans="1:5" ht="21" customHeight="1" x14ac:dyDescent="0.25">
      <c r="A21" s="143">
        <v>1</v>
      </c>
      <c r="B21" s="142" t="s">
        <v>241</v>
      </c>
      <c r="C21" s="145">
        <v>180000</v>
      </c>
      <c r="D21" s="145">
        <f t="shared" si="1"/>
        <v>180000</v>
      </c>
      <c r="E21" s="146"/>
    </row>
    <row r="22" spans="1:5" ht="21" customHeight="1" x14ac:dyDescent="0.25">
      <c r="A22" s="143">
        <v>1</v>
      </c>
      <c r="B22" s="142" t="s">
        <v>245</v>
      </c>
      <c r="C22" s="145">
        <v>100000</v>
      </c>
      <c r="D22" s="145">
        <f t="shared" si="1"/>
        <v>100000</v>
      </c>
      <c r="E22" s="146" t="s">
        <v>218</v>
      </c>
    </row>
    <row r="23" spans="1:5" ht="21" customHeight="1" x14ac:dyDescent="0.25">
      <c r="A23" s="143">
        <v>1</v>
      </c>
      <c r="B23" s="142" t="s">
        <v>242</v>
      </c>
      <c r="C23" s="145">
        <v>1700000</v>
      </c>
      <c r="D23" s="145">
        <f t="shared" si="1"/>
        <v>1700000</v>
      </c>
      <c r="E23" s="146" t="s">
        <v>218</v>
      </c>
    </row>
    <row r="24" spans="1:5" ht="21" customHeight="1" x14ac:dyDescent="0.25">
      <c r="A24" s="143">
        <v>1</v>
      </c>
      <c r="B24" s="142" t="s">
        <v>243</v>
      </c>
      <c r="C24" s="145">
        <v>89000</v>
      </c>
      <c r="D24" s="145">
        <f t="shared" si="1"/>
        <v>89000</v>
      </c>
      <c r="E24" s="146" t="s">
        <v>218</v>
      </c>
    </row>
    <row r="25" spans="1:5" ht="39.75" customHeight="1" x14ac:dyDescent="0.25">
      <c r="A25" s="147"/>
      <c r="B25" s="76" t="s">
        <v>197</v>
      </c>
      <c r="C25" s="148"/>
      <c r="D25" s="66">
        <f>SUM(D4:D24)</f>
        <v>6600000</v>
      </c>
      <c r="E25" s="75"/>
    </row>
    <row r="27" spans="1:5" x14ac:dyDescent="0.25">
      <c r="B27" s="28"/>
    </row>
    <row r="30" spans="1:5" x14ac:dyDescent="0.25">
      <c r="B30" s="28"/>
    </row>
  </sheetData>
  <mergeCells count="1">
    <mergeCell ref="A2:E2"/>
  </mergeCells>
  <pageMargins left="0.7" right="0.7" top="0.75" bottom="0.75" header="0.3" footer="0.3"/>
  <pageSetup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F4DF-0DC5-4E7A-9AFB-1F0B3764786F}">
  <sheetPr>
    <pageSetUpPr fitToPage="1"/>
  </sheetPr>
  <dimension ref="A1:Q44"/>
  <sheetViews>
    <sheetView topLeftCell="A13" zoomScale="70" zoomScaleNormal="70" workbookViewId="0">
      <selection activeCell="B45" sqref="B45"/>
    </sheetView>
  </sheetViews>
  <sheetFormatPr baseColWidth="10" defaultRowHeight="15" x14ac:dyDescent="0.25"/>
  <cols>
    <col min="1" max="1" width="25.5703125" customWidth="1"/>
    <col min="2" max="2" width="16.7109375" bestFit="1" customWidth="1"/>
    <col min="3" max="3" width="32.7109375" bestFit="1" customWidth="1"/>
    <col min="4" max="4" width="17.42578125" bestFit="1" customWidth="1"/>
    <col min="5" max="5" width="40.7109375" customWidth="1"/>
    <col min="6" max="6" width="12.140625" customWidth="1"/>
    <col min="7" max="7" width="13.42578125" customWidth="1"/>
    <col min="8" max="8" width="14.7109375" customWidth="1"/>
    <col min="9" max="9" width="11.85546875" customWidth="1"/>
    <col min="10" max="10" width="20.28515625" bestFit="1" customWidth="1"/>
    <col min="11" max="11" width="24.28515625" customWidth="1"/>
    <col min="12" max="12" width="22.85546875" bestFit="1" customWidth="1"/>
    <col min="13" max="13" width="17.42578125" customWidth="1"/>
    <col min="14" max="14" width="14" bestFit="1" customWidth="1"/>
    <col min="17" max="17" width="12.5703125" bestFit="1" customWidth="1"/>
  </cols>
  <sheetData>
    <row r="1" spans="1:14" ht="15.75" thickBot="1" x14ac:dyDescent="0.3">
      <c r="A1" s="29"/>
      <c r="B1" s="29"/>
      <c r="C1" s="29"/>
      <c r="D1" s="29"/>
      <c r="E1" s="29"/>
      <c r="F1" s="29"/>
      <c r="G1" s="29"/>
      <c r="H1" s="29"/>
      <c r="I1" s="29"/>
      <c r="J1" s="29"/>
      <c r="K1" s="29"/>
      <c r="L1" s="29"/>
      <c r="M1" s="29"/>
      <c r="N1" s="29"/>
    </row>
    <row r="2" spans="1:14" ht="27" customHeight="1" thickTop="1" x14ac:dyDescent="0.25">
      <c r="A2" s="373" t="s">
        <v>179</v>
      </c>
      <c r="B2" s="373"/>
      <c r="C2" s="373"/>
      <c r="D2" s="373"/>
      <c r="E2" s="373"/>
      <c r="F2" s="373"/>
      <c r="G2" s="373"/>
      <c r="H2" s="373"/>
      <c r="I2" s="373"/>
      <c r="J2" s="373"/>
      <c r="K2" s="373"/>
      <c r="L2" s="373"/>
      <c r="M2" s="373"/>
      <c r="N2" s="373"/>
    </row>
    <row r="3" spans="1:14" ht="31.5" customHeight="1" thickBot="1" x14ac:dyDescent="0.3">
      <c r="A3" s="373" t="s">
        <v>252</v>
      </c>
      <c r="B3" s="373"/>
      <c r="C3" s="373"/>
      <c r="D3" s="373"/>
      <c r="E3" s="373"/>
      <c r="F3" s="373"/>
      <c r="G3" s="373"/>
      <c r="H3" s="373"/>
      <c r="I3" s="373"/>
      <c r="J3" s="373"/>
      <c r="K3" s="373"/>
      <c r="L3" s="373"/>
      <c r="M3" s="373"/>
      <c r="N3" s="373"/>
    </row>
    <row r="4" spans="1:14" ht="31.5" customHeight="1" thickBot="1" x14ac:dyDescent="0.3">
      <c r="A4" s="374" t="s">
        <v>375</v>
      </c>
      <c r="B4" s="375"/>
      <c r="C4" s="375"/>
      <c r="D4" s="375"/>
      <c r="E4" s="375"/>
      <c r="F4" s="375"/>
      <c r="G4" s="375"/>
      <c r="H4" s="375"/>
      <c r="I4" s="375"/>
      <c r="J4" s="375"/>
      <c r="K4" s="375"/>
      <c r="L4" s="375"/>
      <c r="M4" s="376"/>
      <c r="N4" s="377"/>
    </row>
    <row r="5" spans="1:14" ht="78.95" customHeight="1" thickTop="1" x14ac:dyDescent="0.25">
      <c r="A5" s="294" t="s">
        <v>180</v>
      </c>
      <c r="B5" s="281" t="s">
        <v>181</v>
      </c>
      <c r="C5" s="281" t="s">
        <v>182</v>
      </c>
      <c r="D5" s="281" t="s">
        <v>183</v>
      </c>
      <c r="E5" s="281" t="s">
        <v>184</v>
      </c>
      <c r="F5" s="281" t="s">
        <v>185</v>
      </c>
      <c r="G5" s="281" t="s">
        <v>186</v>
      </c>
      <c r="H5" s="281" t="s">
        <v>187</v>
      </c>
      <c r="I5" s="281" t="s">
        <v>188</v>
      </c>
      <c r="J5" s="281" t="s">
        <v>189</v>
      </c>
      <c r="K5" s="281" t="s">
        <v>190</v>
      </c>
      <c r="L5" s="281" t="s">
        <v>191</v>
      </c>
      <c r="M5" s="280" t="s">
        <v>192</v>
      </c>
      <c r="N5" s="295" t="s">
        <v>193</v>
      </c>
    </row>
    <row r="6" spans="1:14" ht="52.5" customHeight="1" x14ac:dyDescent="0.25">
      <c r="A6" s="269" t="s">
        <v>254</v>
      </c>
      <c r="B6" s="143" t="s">
        <v>255</v>
      </c>
      <c r="C6" s="282" t="s">
        <v>256</v>
      </c>
      <c r="D6" s="283" t="s">
        <v>194</v>
      </c>
      <c r="E6" s="282" t="s">
        <v>257</v>
      </c>
      <c r="F6" s="282" t="s">
        <v>258</v>
      </c>
      <c r="G6" s="284">
        <v>43101</v>
      </c>
      <c r="H6" s="284">
        <v>43465</v>
      </c>
      <c r="I6" s="285">
        <v>1090</v>
      </c>
      <c r="J6" s="286">
        <v>12795000</v>
      </c>
      <c r="K6" s="287" t="s">
        <v>196</v>
      </c>
      <c r="L6" s="218">
        <v>12795000</v>
      </c>
      <c r="M6" s="287" t="s">
        <v>223</v>
      </c>
      <c r="N6" s="296">
        <f>L6/L36</f>
        <v>1.03687143594437E-2</v>
      </c>
    </row>
    <row r="7" spans="1:14" ht="49.5" customHeight="1" x14ac:dyDescent="0.25">
      <c r="A7" s="269" t="s">
        <v>254</v>
      </c>
      <c r="B7" s="143" t="s">
        <v>255</v>
      </c>
      <c r="C7" s="282" t="s">
        <v>256</v>
      </c>
      <c r="D7" s="283" t="s">
        <v>194</v>
      </c>
      <c r="E7" s="282" t="s">
        <v>259</v>
      </c>
      <c r="F7" s="282" t="s">
        <v>258</v>
      </c>
      <c r="G7" s="284">
        <v>43466</v>
      </c>
      <c r="H7" s="284">
        <v>43830</v>
      </c>
      <c r="I7" s="285">
        <v>790</v>
      </c>
      <c r="J7" s="286">
        <v>13966000</v>
      </c>
      <c r="K7" s="287" t="s">
        <v>196</v>
      </c>
      <c r="L7" s="218">
        <v>13966000</v>
      </c>
      <c r="M7" s="287" t="s">
        <v>223</v>
      </c>
      <c r="N7" s="296">
        <f>L7/L36</f>
        <v>1.1317660394215764E-2</v>
      </c>
    </row>
    <row r="8" spans="1:14" ht="45.75" customHeight="1" x14ac:dyDescent="0.25">
      <c r="A8" s="269" t="s">
        <v>254</v>
      </c>
      <c r="B8" s="143" t="s">
        <v>255</v>
      </c>
      <c r="C8" s="282" t="s">
        <v>256</v>
      </c>
      <c r="D8" s="283" t="s">
        <v>194</v>
      </c>
      <c r="E8" s="282" t="s">
        <v>260</v>
      </c>
      <c r="F8" s="282" t="s">
        <v>258</v>
      </c>
      <c r="G8" s="284">
        <v>43831</v>
      </c>
      <c r="H8" s="284">
        <v>44196</v>
      </c>
      <c r="I8" s="285">
        <v>440</v>
      </c>
      <c r="J8" s="286">
        <v>7871000</v>
      </c>
      <c r="K8" s="287" t="s">
        <v>196</v>
      </c>
      <c r="L8" s="218">
        <v>7871000</v>
      </c>
      <c r="M8" s="287" t="s">
        <v>223</v>
      </c>
      <c r="N8" s="296">
        <f>L8/L36</f>
        <v>6.3784408537070235E-3</v>
      </c>
    </row>
    <row r="9" spans="1:14" ht="48" customHeight="1" x14ac:dyDescent="0.25">
      <c r="A9" s="269" t="s">
        <v>254</v>
      </c>
      <c r="B9" s="143" t="s">
        <v>255</v>
      </c>
      <c r="C9" s="282" t="s">
        <v>256</v>
      </c>
      <c r="D9" s="283" t="s">
        <v>194</v>
      </c>
      <c r="E9" s="282" t="s">
        <v>261</v>
      </c>
      <c r="F9" s="282" t="s">
        <v>258</v>
      </c>
      <c r="G9" s="284">
        <v>44348</v>
      </c>
      <c r="H9" s="284">
        <v>44439</v>
      </c>
      <c r="I9" s="285">
        <v>180</v>
      </c>
      <c r="J9" s="286">
        <v>211000</v>
      </c>
      <c r="K9" s="287" t="s">
        <v>196</v>
      </c>
      <c r="L9" s="218">
        <v>169000</v>
      </c>
      <c r="M9" s="287" t="s">
        <v>223</v>
      </c>
      <c r="N9" s="296">
        <f>L9/L36</f>
        <v>1.3695292901492656E-4</v>
      </c>
    </row>
    <row r="10" spans="1:14" ht="45" x14ac:dyDescent="0.25">
      <c r="A10" s="269" t="s">
        <v>221</v>
      </c>
      <c r="B10" s="143" t="s">
        <v>224</v>
      </c>
      <c r="C10" s="282" t="s">
        <v>225</v>
      </c>
      <c r="D10" s="283" t="s">
        <v>194</v>
      </c>
      <c r="E10" s="282" t="s">
        <v>262</v>
      </c>
      <c r="F10" s="282" t="s">
        <v>195</v>
      </c>
      <c r="G10" s="284">
        <v>42615</v>
      </c>
      <c r="H10" s="284">
        <v>48093</v>
      </c>
      <c r="I10" s="285">
        <v>270</v>
      </c>
      <c r="J10" s="286">
        <v>204000000</v>
      </c>
      <c r="K10" s="287" t="s">
        <v>196</v>
      </c>
      <c r="L10" s="218">
        <v>220894000</v>
      </c>
      <c r="M10" s="287" t="s">
        <v>207</v>
      </c>
      <c r="N10" s="296">
        <f>L10/L36</f>
        <v>0.1790063923184804</v>
      </c>
    </row>
    <row r="11" spans="1:14" ht="45" x14ac:dyDescent="0.25">
      <c r="A11" s="269" t="s">
        <v>221</v>
      </c>
      <c r="B11" s="143" t="s">
        <v>224</v>
      </c>
      <c r="C11" s="282" t="s">
        <v>225</v>
      </c>
      <c r="D11" s="283" t="s">
        <v>194</v>
      </c>
      <c r="E11" s="282" t="s">
        <v>263</v>
      </c>
      <c r="F11" s="282" t="s">
        <v>195</v>
      </c>
      <c r="G11" s="284">
        <v>42608</v>
      </c>
      <c r="H11" s="284">
        <v>45046</v>
      </c>
      <c r="I11" s="285">
        <v>270</v>
      </c>
      <c r="J11" s="286">
        <v>18000000</v>
      </c>
      <c r="K11" s="287" t="s">
        <v>196</v>
      </c>
      <c r="L11" s="218">
        <v>18296000</v>
      </c>
      <c r="M11" s="287" t="s">
        <v>207</v>
      </c>
      <c r="N11" s="296">
        <f>L11/L36</f>
        <v>1.4826572717497611E-2</v>
      </c>
    </row>
    <row r="12" spans="1:14" ht="45" x14ac:dyDescent="0.25">
      <c r="A12" s="269" t="s">
        <v>221</v>
      </c>
      <c r="B12" s="143" t="s">
        <v>224</v>
      </c>
      <c r="C12" s="282" t="s">
        <v>265</v>
      </c>
      <c r="D12" s="283" t="s">
        <v>194</v>
      </c>
      <c r="E12" s="282" t="s">
        <v>267</v>
      </c>
      <c r="F12" s="282" t="s">
        <v>195</v>
      </c>
      <c r="G12" s="284">
        <v>46287</v>
      </c>
      <c r="H12" s="284">
        <v>45504</v>
      </c>
      <c r="I12" s="285">
        <v>270</v>
      </c>
      <c r="J12" s="286">
        <v>40000000</v>
      </c>
      <c r="K12" s="287" t="s">
        <v>196</v>
      </c>
      <c r="L12" s="218">
        <v>26139000</v>
      </c>
      <c r="M12" s="287" t="s">
        <v>207</v>
      </c>
      <c r="N12" s="296">
        <f>L12/L36</f>
        <v>2.118232314509565E-2</v>
      </c>
    </row>
    <row r="13" spans="1:14" ht="45" x14ac:dyDescent="0.25">
      <c r="A13" s="269" t="s">
        <v>221</v>
      </c>
      <c r="B13" s="143" t="s">
        <v>264</v>
      </c>
      <c r="C13" s="282" t="s">
        <v>266</v>
      </c>
      <c r="D13" s="283" t="s">
        <v>194</v>
      </c>
      <c r="E13" s="282" t="s">
        <v>268</v>
      </c>
      <c r="F13" s="282" t="s">
        <v>195</v>
      </c>
      <c r="G13" s="284">
        <v>43097</v>
      </c>
      <c r="H13" s="284">
        <v>45214</v>
      </c>
      <c r="I13" s="285">
        <v>270</v>
      </c>
      <c r="J13" s="286">
        <v>114400000</v>
      </c>
      <c r="K13" s="287" t="s">
        <v>196</v>
      </c>
      <c r="L13" s="218">
        <v>105660000</v>
      </c>
      <c r="M13" s="287" t="s">
        <v>208</v>
      </c>
      <c r="N13" s="296">
        <f>L13/L36</f>
        <v>8.5623943666965324E-2</v>
      </c>
    </row>
    <row r="14" spans="1:14" ht="45" x14ac:dyDescent="0.25">
      <c r="A14" s="269" t="s">
        <v>221</v>
      </c>
      <c r="B14" s="143" t="s">
        <v>224</v>
      </c>
      <c r="C14" s="282" t="s">
        <v>225</v>
      </c>
      <c r="D14" s="283" t="s">
        <v>194</v>
      </c>
      <c r="E14" s="282" t="s">
        <v>269</v>
      </c>
      <c r="F14" s="282" t="s">
        <v>195</v>
      </c>
      <c r="G14" s="284">
        <v>42608</v>
      </c>
      <c r="H14" s="284">
        <v>46114</v>
      </c>
      <c r="I14" s="285">
        <v>270</v>
      </c>
      <c r="J14" s="286">
        <v>5400000</v>
      </c>
      <c r="K14" s="287" t="s">
        <v>196</v>
      </c>
      <c r="L14" s="218">
        <v>2899000</v>
      </c>
      <c r="M14" s="287" t="s">
        <v>209</v>
      </c>
      <c r="N14" s="296">
        <f>L14/L36</f>
        <v>2.3492694746406633E-3</v>
      </c>
    </row>
    <row r="15" spans="1:14" ht="45" x14ac:dyDescent="0.25">
      <c r="A15" s="269" t="s">
        <v>221</v>
      </c>
      <c r="B15" s="143" t="s">
        <v>224</v>
      </c>
      <c r="C15" s="282" t="s">
        <v>225</v>
      </c>
      <c r="D15" s="283" t="s">
        <v>194</v>
      </c>
      <c r="E15" s="282" t="s">
        <v>270</v>
      </c>
      <c r="F15" s="282" t="s">
        <v>195</v>
      </c>
      <c r="G15" s="284">
        <v>42530</v>
      </c>
      <c r="H15" s="284">
        <v>42462</v>
      </c>
      <c r="I15" s="285">
        <v>270</v>
      </c>
      <c r="J15" s="286">
        <v>10000000</v>
      </c>
      <c r="K15" s="287" t="s">
        <v>196</v>
      </c>
      <c r="L15" s="218">
        <v>6327000</v>
      </c>
      <c r="M15" s="287" t="s">
        <v>209</v>
      </c>
      <c r="N15" s="296">
        <f>L15/L36</f>
        <v>5.1272259282688776E-3</v>
      </c>
    </row>
    <row r="16" spans="1:14" ht="45" x14ac:dyDescent="0.25">
      <c r="A16" s="269" t="s">
        <v>221</v>
      </c>
      <c r="B16" s="143" t="s">
        <v>224</v>
      </c>
      <c r="C16" s="282" t="s">
        <v>225</v>
      </c>
      <c r="D16" s="283" t="s">
        <v>194</v>
      </c>
      <c r="E16" s="282" t="s">
        <v>271</v>
      </c>
      <c r="F16" s="282" t="s">
        <v>195</v>
      </c>
      <c r="G16" s="284">
        <v>42608</v>
      </c>
      <c r="H16" s="284">
        <v>46445</v>
      </c>
      <c r="I16" s="285">
        <v>270</v>
      </c>
      <c r="J16" s="286">
        <v>12600000</v>
      </c>
      <c r="K16" s="287" t="s">
        <v>196</v>
      </c>
      <c r="L16" s="218">
        <v>12778000</v>
      </c>
      <c r="M16" s="287" t="s">
        <v>209</v>
      </c>
      <c r="N16" s="296">
        <f>L16/L36</f>
        <v>1.0354938029306104E-2</v>
      </c>
    </row>
    <row r="17" spans="1:14" ht="45" x14ac:dyDescent="0.25">
      <c r="A17" s="269" t="s">
        <v>272</v>
      </c>
      <c r="B17" s="143" t="s">
        <v>273</v>
      </c>
      <c r="C17" s="282" t="s">
        <v>274</v>
      </c>
      <c r="D17" s="283" t="s">
        <v>194</v>
      </c>
      <c r="E17" s="282" t="s">
        <v>275</v>
      </c>
      <c r="F17" s="282" t="s">
        <v>195</v>
      </c>
      <c r="G17" s="284">
        <v>42150</v>
      </c>
      <c r="H17" s="284">
        <v>44342</v>
      </c>
      <c r="I17" s="285">
        <v>270</v>
      </c>
      <c r="J17" s="286">
        <v>50391000</v>
      </c>
      <c r="K17" s="287" t="s">
        <v>196</v>
      </c>
      <c r="L17" s="218">
        <v>11832000</v>
      </c>
      <c r="M17" s="287" t="s">
        <v>209</v>
      </c>
      <c r="N17" s="296">
        <f>L17/L36</f>
        <v>9.5883257757669281E-3</v>
      </c>
    </row>
    <row r="18" spans="1:14" ht="45" x14ac:dyDescent="0.25">
      <c r="A18" s="269" t="s">
        <v>276</v>
      </c>
      <c r="B18" s="143" t="s">
        <v>273</v>
      </c>
      <c r="C18" s="282" t="s">
        <v>277</v>
      </c>
      <c r="D18" s="283" t="s">
        <v>194</v>
      </c>
      <c r="E18" s="282" t="s">
        <v>278</v>
      </c>
      <c r="F18" s="282" t="s">
        <v>195</v>
      </c>
      <c r="G18" s="284">
        <v>42165</v>
      </c>
      <c r="H18" s="284">
        <v>43784</v>
      </c>
      <c r="I18" s="285">
        <v>270</v>
      </c>
      <c r="J18" s="286">
        <v>19000000</v>
      </c>
      <c r="K18" s="287" t="s">
        <v>196</v>
      </c>
      <c r="L18" s="218">
        <v>13807000</v>
      </c>
      <c r="M18" s="287" t="s">
        <v>209</v>
      </c>
      <c r="N18" s="296">
        <f>L18/L36</f>
        <v>1.1188811188811189E-2</v>
      </c>
    </row>
    <row r="19" spans="1:14" ht="45" x14ac:dyDescent="0.25">
      <c r="A19" s="269" t="s">
        <v>279</v>
      </c>
      <c r="B19" s="143" t="s">
        <v>280</v>
      </c>
      <c r="C19" s="283" t="s">
        <v>281</v>
      </c>
      <c r="D19" s="283" t="s">
        <v>194</v>
      </c>
      <c r="E19" s="282" t="s">
        <v>282</v>
      </c>
      <c r="F19" s="282" t="s">
        <v>195</v>
      </c>
      <c r="G19" s="284">
        <v>43097</v>
      </c>
      <c r="H19" s="284">
        <v>44927</v>
      </c>
      <c r="I19" s="285">
        <v>270</v>
      </c>
      <c r="J19" s="286">
        <v>132789000</v>
      </c>
      <c r="K19" s="287" t="s">
        <v>196</v>
      </c>
      <c r="L19" s="218">
        <v>184789000</v>
      </c>
      <c r="M19" s="287" t="s">
        <v>209</v>
      </c>
      <c r="N19" s="296">
        <f>L19/L36</f>
        <v>0.14974789822330925</v>
      </c>
    </row>
    <row r="20" spans="1:14" ht="45" x14ac:dyDescent="0.25">
      <c r="A20" s="269" t="s">
        <v>249</v>
      </c>
      <c r="B20" s="143" t="s">
        <v>250</v>
      </c>
      <c r="C20" s="143" t="s">
        <v>251</v>
      </c>
      <c r="D20" s="283" t="s">
        <v>194</v>
      </c>
      <c r="E20" s="282" t="s">
        <v>283</v>
      </c>
      <c r="F20" s="282" t="s">
        <v>195</v>
      </c>
      <c r="G20" s="284">
        <v>41689</v>
      </c>
      <c r="H20" s="284">
        <v>45626</v>
      </c>
      <c r="I20" s="285">
        <v>270</v>
      </c>
      <c r="J20" s="286">
        <v>750000</v>
      </c>
      <c r="K20" s="287" t="s">
        <v>196</v>
      </c>
      <c r="L20" s="218">
        <v>332000</v>
      </c>
      <c r="M20" s="287" t="s">
        <v>209</v>
      </c>
      <c r="N20" s="296">
        <f>L20/L36</f>
        <v>2.6904362386364272E-4</v>
      </c>
    </row>
    <row r="21" spans="1:14" ht="48" customHeight="1" x14ac:dyDescent="0.25">
      <c r="A21" s="269" t="s">
        <v>284</v>
      </c>
      <c r="B21" s="143" t="s">
        <v>285</v>
      </c>
      <c r="C21" s="282" t="s">
        <v>286</v>
      </c>
      <c r="D21" s="283" t="s">
        <v>287</v>
      </c>
      <c r="E21" s="282" t="s">
        <v>288</v>
      </c>
      <c r="F21" s="282" t="s">
        <v>195</v>
      </c>
      <c r="G21" s="284">
        <v>43841</v>
      </c>
      <c r="H21" s="284">
        <v>44117</v>
      </c>
      <c r="I21" s="285">
        <v>270</v>
      </c>
      <c r="J21" s="286">
        <v>1309000</v>
      </c>
      <c r="K21" s="287" t="s">
        <v>196</v>
      </c>
      <c r="L21" s="218">
        <v>1398000</v>
      </c>
      <c r="M21" s="287" t="s">
        <v>226</v>
      </c>
      <c r="N21" s="296">
        <f>L21/L36</f>
        <v>1.1329005607270256E-3</v>
      </c>
    </row>
    <row r="22" spans="1:14" ht="45" x14ac:dyDescent="0.25">
      <c r="A22" s="269" t="s">
        <v>289</v>
      </c>
      <c r="B22" s="143" t="s">
        <v>290</v>
      </c>
      <c r="C22" s="143" t="s">
        <v>291</v>
      </c>
      <c r="D22" s="283" t="s">
        <v>194</v>
      </c>
      <c r="E22" s="282" t="s">
        <v>292</v>
      </c>
      <c r="F22" s="282" t="s">
        <v>195</v>
      </c>
      <c r="G22" s="284">
        <v>42524</v>
      </c>
      <c r="H22" s="284">
        <v>46176</v>
      </c>
      <c r="I22" s="285">
        <v>270</v>
      </c>
      <c r="J22" s="286">
        <v>8700000</v>
      </c>
      <c r="K22" s="287" t="s">
        <v>196</v>
      </c>
      <c r="L22" s="219">
        <v>3436000</v>
      </c>
      <c r="M22" s="287" t="s">
        <v>226</v>
      </c>
      <c r="N22" s="296">
        <f>L22/L36</f>
        <v>2.7844394325164949E-3</v>
      </c>
    </row>
    <row r="23" spans="1:14" ht="45" x14ac:dyDescent="0.25">
      <c r="A23" s="269" t="s">
        <v>293</v>
      </c>
      <c r="B23" s="143" t="s">
        <v>294</v>
      </c>
      <c r="C23" s="143" t="s">
        <v>295</v>
      </c>
      <c r="D23" s="283" t="s">
        <v>194</v>
      </c>
      <c r="E23" s="282" t="s">
        <v>296</v>
      </c>
      <c r="F23" s="282" t="s">
        <v>195</v>
      </c>
      <c r="G23" s="284">
        <v>43096</v>
      </c>
      <c r="H23" s="284">
        <v>43385</v>
      </c>
      <c r="I23" s="285">
        <v>270</v>
      </c>
      <c r="J23" s="286">
        <v>17118000</v>
      </c>
      <c r="K23" s="287" t="s">
        <v>196</v>
      </c>
      <c r="L23" s="218">
        <v>7155000</v>
      </c>
      <c r="M23" s="287" t="s">
        <v>226</v>
      </c>
      <c r="N23" s="296">
        <f>L23/L36</f>
        <v>5.7982142432059141E-3</v>
      </c>
    </row>
    <row r="24" spans="1:14" ht="51" customHeight="1" x14ac:dyDescent="0.25">
      <c r="A24" s="269" t="s">
        <v>297</v>
      </c>
      <c r="B24" s="283" t="s">
        <v>298</v>
      </c>
      <c r="C24" s="143" t="s">
        <v>299</v>
      </c>
      <c r="D24" s="283" t="s">
        <v>194</v>
      </c>
      <c r="E24" s="282" t="s">
        <v>300</v>
      </c>
      <c r="F24" s="282" t="s">
        <v>301</v>
      </c>
      <c r="G24" s="284">
        <v>44202</v>
      </c>
      <c r="H24" s="284">
        <v>44439</v>
      </c>
      <c r="I24" s="285">
        <v>327</v>
      </c>
      <c r="J24" s="286">
        <v>12791000</v>
      </c>
      <c r="K24" s="287" t="s">
        <v>196</v>
      </c>
      <c r="L24" s="218">
        <v>12791000</v>
      </c>
      <c r="M24" s="287" t="s">
        <v>366</v>
      </c>
      <c r="N24" s="296">
        <f>L24/L36</f>
        <v>1.0365472869999559E-2</v>
      </c>
    </row>
    <row r="25" spans="1:14" ht="30" x14ac:dyDescent="0.25">
      <c r="A25" s="269" t="s">
        <v>302</v>
      </c>
      <c r="B25" s="288">
        <v>900786054</v>
      </c>
      <c r="C25" s="143" t="s">
        <v>303</v>
      </c>
      <c r="D25" s="283" t="s">
        <v>304</v>
      </c>
      <c r="E25" s="282" t="s">
        <v>300</v>
      </c>
      <c r="F25" s="282" t="s">
        <v>301</v>
      </c>
      <c r="G25" s="284">
        <v>44204</v>
      </c>
      <c r="H25" s="284">
        <v>44439</v>
      </c>
      <c r="I25" s="285">
        <v>325</v>
      </c>
      <c r="J25" s="286">
        <v>22777355</v>
      </c>
      <c r="K25" s="287" t="s">
        <v>196</v>
      </c>
      <c r="L25" s="219">
        <v>22777355</v>
      </c>
      <c r="M25" s="287" t="s">
        <v>366</v>
      </c>
      <c r="N25" s="296">
        <f>L25/L36</f>
        <v>1.8458138949483921E-2</v>
      </c>
    </row>
    <row r="26" spans="1:14" ht="45" x14ac:dyDescent="0.25">
      <c r="A26" s="269" t="s">
        <v>305</v>
      </c>
      <c r="B26" s="143" t="s">
        <v>306</v>
      </c>
      <c r="C26" s="289" t="s">
        <v>307</v>
      </c>
      <c r="D26" s="283" t="s">
        <v>304</v>
      </c>
      <c r="E26" s="282" t="s">
        <v>300</v>
      </c>
      <c r="F26" s="282" t="s">
        <v>301</v>
      </c>
      <c r="G26" s="284">
        <v>44211</v>
      </c>
      <c r="H26" s="284">
        <v>44439</v>
      </c>
      <c r="I26" s="285">
        <v>318</v>
      </c>
      <c r="J26" s="286">
        <v>342922079</v>
      </c>
      <c r="K26" s="287" t="s">
        <v>196</v>
      </c>
      <c r="L26" s="218">
        <v>342922079</v>
      </c>
      <c r="M26" s="287" t="s">
        <v>366</v>
      </c>
      <c r="N26" s="296">
        <f>L26/L36</f>
        <v>0.27789457481028423</v>
      </c>
    </row>
    <row r="27" spans="1:14" ht="30" x14ac:dyDescent="0.25">
      <c r="A27" s="269" t="s">
        <v>308</v>
      </c>
      <c r="B27" s="143" t="s">
        <v>309</v>
      </c>
      <c r="C27" s="143" t="s">
        <v>310</v>
      </c>
      <c r="D27" s="283" t="s">
        <v>304</v>
      </c>
      <c r="E27" s="282" t="s">
        <v>300</v>
      </c>
      <c r="F27" s="282" t="s">
        <v>301</v>
      </c>
      <c r="G27" s="284">
        <v>44232</v>
      </c>
      <c r="H27" s="284">
        <v>44439</v>
      </c>
      <c r="I27" s="285">
        <v>297</v>
      </c>
      <c r="J27" s="286">
        <v>1154182</v>
      </c>
      <c r="K27" s="287" t="s">
        <v>196</v>
      </c>
      <c r="L27" s="218">
        <v>1154182</v>
      </c>
      <c r="M27" s="287" t="s">
        <v>366</v>
      </c>
      <c r="N27" s="296">
        <f>L27/L36</f>
        <v>9.353171924041773E-4</v>
      </c>
    </row>
    <row r="28" spans="1:14" ht="30" x14ac:dyDescent="0.25">
      <c r="A28" s="269" t="s">
        <v>311</v>
      </c>
      <c r="B28" s="143"/>
      <c r="C28" s="143"/>
      <c r="D28" s="283" t="s">
        <v>194</v>
      </c>
      <c r="E28" s="282" t="s">
        <v>300</v>
      </c>
      <c r="F28" s="282" t="s">
        <v>301</v>
      </c>
      <c r="G28" s="284">
        <v>44242</v>
      </c>
      <c r="H28" s="284">
        <v>44439</v>
      </c>
      <c r="I28" s="285">
        <v>287</v>
      </c>
      <c r="J28" s="286">
        <v>41472550</v>
      </c>
      <c r="K28" s="287" t="s">
        <v>196</v>
      </c>
      <c r="L28" s="218">
        <v>41472550</v>
      </c>
      <c r="M28" s="287" t="s">
        <v>366</v>
      </c>
      <c r="N28" s="296">
        <f>L28/L36</f>
        <v>3.3608208261644922E-2</v>
      </c>
    </row>
    <row r="29" spans="1:14" ht="30" x14ac:dyDescent="0.25">
      <c r="A29" s="269" t="s">
        <v>312</v>
      </c>
      <c r="B29" s="143" t="s">
        <v>313</v>
      </c>
      <c r="C29" s="289" t="s">
        <v>314</v>
      </c>
      <c r="D29" s="283" t="s">
        <v>304</v>
      </c>
      <c r="E29" s="282" t="s">
        <v>300</v>
      </c>
      <c r="F29" s="282" t="s">
        <v>301</v>
      </c>
      <c r="G29" s="284">
        <v>44249</v>
      </c>
      <c r="H29" s="284">
        <v>44439</v>
      </c>
      <c r="I29" s="285">
        <v>280</v>
      </c>
      <c r="J29" s="286">
        <v>11046651</v>
      </c>
      <c r="K29" s="287" t="s">
        <v>196</v>
      </c>
      <c r="L29" s="218">
        <v>11046651</v>
      </c>
      <c r="M29" s="287" t="s">
        <v>366</v>
      </c>
      <c r="N29" s="296">
        <f>L29/L36</f>
        <v>8.9519006524003981E-3</v>
      </c>
    </row>
    <row r="30" spans="1:14" ht="51" customHeight="1" x14ac:dyDescent="0.25">
      <c r="A30" s="269" t="s">
        <v>315</v>
      </c>
      <c r="B30" s="290" t="s">
        <v>316</v>
      </c>
      <c r="C30" s="143" t="s">
        <v>317</v>
      </c>
      <c r="D30" s="283" t="s">
        <v>287</v>
      </c>
      <c r="E30" s="282" t="s">
        <v>300</v>
      </c>
      <c r="F30" s="282" t="s">
        <v>301</v>
      </c>
      <c r="G30" s="284">
        <v>44244</v>
      </c>
      <c r="H30" s="284">
        <v>44439</v>
      </c>
      <c r="I30" s="285">
        <v>285</v>
      </c>
      <c r="J30" s="286">
        <v>3256500</v>
      </c>
      <c r="K30" s="287" t="s">
        <v>196</v>
      </c>
      <c r="L30" s="218">
        <v>3256500</v>
      </c>
      <c r="M30" s="287" t="s">
        <v>366</v>
      </c>
      <c r="N30" s="296">
        <f>L30/L36</f>
        <v>2.6389775937107002E-3</v>
      </c>
    </row>
    <row r="31" spans="1:14" ht="51" customHeight="1" x14ac:dyDescent="0.25">
      <c r="A31" s="269" t="s">
        <v>318</v>
      </c>
      <c r="B31" s="291">
        <v>800085178</v>
      </c>
      <c r="C31" s="143" t="s">
        <v>319</v>
      </c>
      <c r="D31" s="283" t="s">
        <v>304</v>
      </c>
      <c r="E31" s="282" t="s">
        <v>300</v>
      </c>
      <c r="F31" s="282" t="s">
        <v>301</v>
      </c>
      <c r="G31" s="284">
        <v>44280</v>
      </c>
      <c r="H31" s="284">
        <v>44439</v>
      </c>
      <c r="I31" s="285">
        <v>249</v>
      </c>
      <c r="J31" s="286">
        <v>1368776</v>
      </c>
      <c r="K31" s="287" t="s">
        <v>196</v>
      </c>
      <c r="L31" s="218">
        <v>1368776</v>
      </c>
      <c r="M31" s="287" t="s">
        <v>366</v>
      </c>
      <c r="N31" s="296">
        <f>L31/L36</f>
        <v>1.1092182388481367E-3</v>
      </c>
    </row>
    <row r="32" spans="1:14" ht="51" customHeight="1" x14ac:dyDescent="0.25">
      <c r="A32" s="269" t="s">
        <v>320</v>
      </c>
      <c r="B32" s="292" t="s">
        <v>321</v>
      </c>
      <c r="C32" s="143" t="s">
        <v>322</v>
      </c>
      <c r="D32" s="283" t="s">
        <v>194</v>
      </c>
      <c r="E32" s="282" t="s">
        <v>300</v>
      </c>
      <c r="F32" s="282" t="s">
        <v>301</v>
      </c>
      <c r="G32" s="284">
        <v>44286</v>
      </c>
      <c r="H32" s="284">
        <v>44439</v>
      </c>
      <c r="I32" s="285">
        <v>243</v>
      </c>
      <c r="J32" s="286">
        <v>24139750</v>
      </c>
      <c r="K32" s="287" t="s">
        <v>196</v>
      </c>
      <c r="L32" s="218">
        <v>24139750</v>
      </c>
      <c r="M32" s="287" t="s">
        <v>366</v>
      </c>
      <c r="N32" s="296">
        <f>L32/L36</f>
        <v>1.9562186202296293E-2</v>
      </c>
    </row>
    <row r="33" spans="1:17" ht="51" customHeight="1" x14ac:dyDescent="0.25">
      <c r="A33" s="269" t="s">
        <v>323</v>
      </c>
      <c r="B33" s="143" t="s">
        <v>324</v>
      </c>
      <c r="C33" s="143" t="s">
        <v>325</v>
      </c>
      <c r="D33" s="283" t="s">
        <v>304</v>
      </c>
      <c r="E33" s="282" t="s">
        <v>300</v>
      </c>
      <c r="F33" s="282" t="s">
        <v>301</v>
      </c>
      <c r="G33" s="284">
        <v>44290</v>
      </c>
      <c r="H33" s="284">
        <v>44439</v>
      </c>
      <c r="I33" s="285">
        <v>239</v>
      </c>
      <c r="J33" s="286">
        <v>31538728</v>
      </c>
      <c r="K33" s="287" t="s">
        <v>196</v>
      </c>
      <c r="L33" s="218">
        <v>31538728</v>
      </c>
      <c r="M33" s="287" t="s">
        <v>366</v>
      </c>
      <c r="N33" s="296">
        <f>L33/L36</f>
        <v>2.5558113473402821E-2</v>
      </c>
    </row>
    <row r="34" spans="1:17" ht="51" customHeight="1" x14ac:dyDescent="0.25">
      <c r="A34" s="269" t="s">
        <v>326</v>
      </c>
      <c r="B34" s="293" t="s">
        <v>327</v>
      </c>
      <c r="C34" s="143" t="s">
        <v>328</v>
      </c>
      <c r="D34" s="283" t="s">
        <v>287</v>
      </c>
      <c r="E34" s="282" t="s">
        <v>300</v>
      </c>
      <c r="F34" s="282" t="s">
        <v>301</v>
      </c>
      <c r="G34" s="284">
        <v>44321</v>
      </c>
      <c r="H34" s="284">
        <v>44439</v>
      </c>
      <c r="I34" s="285">
        <v>208</v>
      </c>
      <c r="J34" s="286">
        <v>85267872</v>
      </c>
      <c r="K34" s="287" t="s">
        <v>196</v>
      </c>
      <c r="L34" s="219">
        <v>85267872</v>
      </c>
      <c r="M34" s="287" t="s">
        <v>366</v>
      </c>
      <c r="N34" s="296">
        <f>L34/L36</f>
        <v>6.909872675307599E-2</v>
      </c>
    </row>
    <row r="35" spans="1:17" ht="45" x14ac:dyDescent="0.25">
      <c r="A35" s="269" t="s">
        <v>329</v>
      </c>
      <c r="B35" s="291">
        <v>72260553</v>
      </c>
      <c r="C35" s="143"/>
      <c r="D35" s="283" t="s">
        <v>194</v>
      </c>
      <c r="E35" s="282" t="s">
        <v>367</v>
      </c>
      <c r="F35" s="282" t="s">
        <v>368</v>
      </c>
      <c r="G35" s="284">
        <v>43866</v>
      </c>
      <c r="H35" s="284">
        <v>44439</v>
      </c>
      <c r="I35" s="285">
        <v>663</v>
      </c>
      <c r="J35" s="286">
        <v>5722182</v>
      </c>
      <c r="K35" s="287" t="s">
        <v>196</v>
      </c>
      <c r="L35" s="286">
        <v>5722182</v>
      </c>
      <c r="M35" s="287" t="s">
        <v>366</v>
      </c>
      <c r="N35" s="296">
        <f>L35/L36</f>
        <v>4.6370981376123695E-3</v>
      </c>
      <c r="Q35" s="158"/>
    </row>
    <row r="36" spans="1:17" ht="38.25" customHeight="1" thickBot="1" x14ac:dyDescent="0.3">
      <c r="A36" s="297"/>
      <c r="B36" s="298"/>
      <c r="C36" s="298"/>
      <c r="D36" s="298"/>
      <c r="E36" s="299" t="s">
        <v>197</v>
      </c>
      <c r="F36" s="298"/>
      <c r="G36" s="298"/>
      <c r="H36" s="298"/>
      <c r="I36" s="298"/>
      <c r="J36" s="300">
        <f>SUM(J6:J35)</f>
        <v>1252757625</v>
      </c>
      <c r="K36" s="301">
        <f>SUM(K6:K9)</f>
        <v>0</v>
      </c>
      <c r="L36" s="302">
        <f>SUM(L6:L35)</f>
        <v>1234000625</v>
      </c>
      <c r="M36" s="298"/>
      <c r="N36" s="303">
        <f>SUM(N6:N35)</f>
        <v>0.99999999999999989</v>
      </c>
    </row>
    <row r="37" spans="1:17" ht="36.75" customHeight="1" x14ac:dyDescent="0.25">
      <c r="A37" s="77"/>
      <c r="B37" s="77"/>
      <c r="C37" s="77"/>
      <c r="D37" s="77"/>
      <c r="E37" s="30"/>
      <c r="F37" s="77"/>
      <c r="G37" s="77"/>
      <c r="H37" s="77"/>
      <c r="I37" s="77"/>
      <c r="J37" s="74"/>
      <c r="K37" s="78"/>
      <c r="L37" s="79"/>
      <c r="M37" s="77"/>
      <c r="N37" s="80"/>
    </row>
    <row r="40" spans="1:17" x14ac:dyDescent="0.25">
      <c r="K40" s="158"/>
      <c r="L40" s="158"/>
    </row>
    <row r="42" spans="1:17" x14ac:dyDescent="0.25">
      <c r="A42" s="28"/>
      <c r="B42" s="28"/>
      <c r="G42" s="378"/>
      <c r="H42" s="378"/>
      <c r="I42" s="378"/>
      <c r="J42" s="378"/>
    </row>
    <row r="43" spans="1:17" ht="18.75" x14ac:dyDescent="0.3">
      <c r="A43" s="372"/>
      <c r="B43" s="372"/>
      <c r="C43" s="372"/>
      <c r="D43" s="372"/>
      <c r="E43" s="372"/>
      <c r="F43" s="372"/>
      <c r="G43" s="379"/>
      <c r="H43" s="379"/>
      <c r="I43" s="379"/>
      <c r="J43" s="379"/>
      <c r="K43" s="379"/>
      <c r="L43" s="379"/>
      <c r="M43" s="379"/>
      <c r="N43" s="379"/>
    </row>
    <row r="44" spans="1:17" ht="18.75" x14ac:dyDescent="0.3">
      <c r="A44" s="371"/>
      <c r="B44" s="371"/>
      <c r="C44" s="371"/>
      <c r="D44" s="371"/>
      <c r="E44" s="371"/>
      <c r="F44" s="371"/>
      <c r="G44" s="371"/>
      <c r="H44" s="371"/>
      <c r="I44" s="371"/>
      <c r="J44" s="371"/>
      <c r="K44" s="371"/>
      <c r="L44" s="371"/>
      <c r="M44" s="371"/>
      <c r="N44" s="371"/>
    </row>
  </sheetData>
  <mergeCells count="8">
    <mergeCell ref="G44:N44"/>
    <mergeCell ref="A43:F43"/>
    <mergeCell ref="A44:F44"/>
    <mergeCell ref="A2:N2"/>
    <mergeCell ref="A3:N3"/>
    <mergeCell ref="A4:N4"/>
    <mergeCell ref="G42:J42"/>
    <mergeCell ref="G43:N43"/>
  </mergeCells>
  <phoneticPr fontId="44" type="noConversion"/>
  <hyperlinks>
    <hyperlink ref="B30" r:id="rId1" location="formularioRegistro" tooltip="Consultar nit de Insumos Agricolas De Los Andes Sas" display="formularioRegistro" xr:uid="{D77258DE-C13B-4C08-BC52-56502CFAD8D1}"/>
    <hyperlink ref="B32" r:id="rId2" location="formularioRegistro" tooltip="Consultar nit de Productos Agroquimicos Y Fertilizantes S A S" display="formularioRegistro" xr:uid="{16355861-056B-4BA0-8E47-26AD73BBC5A7}"/>
  </hyperlinks>
  <pageMargins left="0.70866141732283472" right="0.70866141732283472" top="0.94488188976377963" bottom="0.74803149606299213" header="0.31496062992125984" footer="0.31496062992125984"/>
  <pageSetup paperSize="14" scale="51"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2E15-ECB2-410B-B45A-68A283BC6875}">
  <sheetPr>
    <pageSetUpPr fitToPage="1"/>
  </sheetPr>
  <dimension ref="A1:F40"/>
  <sheetViews>
    <sheetView topLeftCell="A29" workbookViewId="0">
      <selection activeCell="A36" sqref="A36"/>
    </sheetView>
  </sheetViews>
  <sheetFormatPr baseColWidth="10" defaultRowHeight="15" x14ac:dyDescent="0.25"/>
  <cols>
    <col min="2" max="2" width="27.5703125" customWidth="1"/>
    <col min="3" max="3" width="27.85546875" customWidth="1"/>
    <col min="4" max="4" width="15.28515625" customWidth="1"/>
    <col min="6" max="6" width="12.5703125" bestFit="1" customWidth="1"/>
  </cols>
  <sheetData>
    <row r="1" spans="1:6" ht="15.75" thickBot="1" x14ac:dyDescent="0.3">
      <c r="A1" s="29"/>
      <c r="B1" s="29"/>
      <c r="C1" s="29"/>
      <c r="D1" s="29"/>
    </row>
    <row r="2" spans="1:6" ht="18.75" customHeight="1" thickTop="1" x14ac:dyDescent="0.25">
      <c r="A2" s="305" t="s">
        <v>252</v>
      </c>
      <c r="B2" s="305"/>
      <c r="C2" s="305"/>
      <c r="D2" s="305"/>
    </row>
    <row r="3" spans="1:6" ht="19.5" customHeight="1" x14ac:dyDescent="0.25">
      <c r="A3" s="305" t="s">
        <v>253</v>
      </c>
      <c r="B3" s="305"/>
      <c r="C3" s="305"/>
      <c r="D3" s="305"/>
    </row>
    <row r="4" spans="1:6" ht="20.25" customHeight="1" x14ac:dyDescent="0.25">
      <c r="A4" s="305" t="s">
        <v>0</v>
      </c>
      <c r="B4" s="305"/>
      <c r="C4" s="305"/>
      <c r="D4" s="305"/>
    </row>
    <row r="5" spans="1:6" ht="17.25" customHeight="1" thickBot="1" x14ac:dyDescent="0.3">
      <c r="A5" s="306" t="s">
        <v>29</v>
      </c>
      <c r="B5" s="306"/>
      <c r="C5" s="306"/>
      <c r="D5" s="306"/>
    </row>
    <row r="6" spans="1:6" ht="17.25" customHeight="1" thickTop="1" thickBot="1" x14ac:dyDescent="0.3">
      <c r="A6" s="30"/>
      <c r="B6" s="30"/>
      <c r="C6" s="30"/>
      <c r="D6" s="31" t="s">
        <v>2</v>
      </c>
    </row>
    <row r="7" spans="1:6" ht="19.5" customHeight="1" thickTop="1" x14ac:dyDescent="0.25">
      <c r="A7" s="30"/>
      <c r="B7" s="30"/>
      <c r="C7" s="30"/>
      <c r="D7" s="32">
        <v>2020</v>
      </c>
      <c r="E7" s="5"/>
    </row>
    <row r="8" spans="1:6" ht="21" customHeight="1" x14ac:dyDescent="0.25">
      <c r="A8" s="6" t="s">
        <v>3</v>
      </c>
      <c r="B8" s="7"/>
      <c r="C8" s="7"/>
      <c r="D8" s="8"/>
    </row>
    <row r="9" spans="1:6" x14ac:dyDescent="0.25">
      <c r="A9" s="6" t="s">
        <v>4</v>
      </c>
      <c r="B9" s="7"/>
      <c r="C9" s="7"/>
      <c r="D9" s="9"/>
    </row>
    <row r="10" spans="1:6" x14ac:dyDescent="0.25">
      <c r="A10" s="7" t="s">
        <v>5</v>
      </c>
      <c r="B10" s="7"/>
      <c r="C10" s="7"/>
      <c r="D10" s="10">
        <v>953045936</v>
      </c>
    </row>
    <row r="11" spans="1:6" x14ac:dyDescent="0.25">
      <c r="A11" s="7" t="s">
        <v>6</v>
      </c>
      <c r="B11" s="7"/>
      <c r="C11" s="7"/>
      <c r="D11" s="10">
        <v>-13065052</v>
      </c>
      <c r="F11" s="149"/>
    </row>
    <row r="12" spans="1:6" ht="25.5" customHeight="1" x14ac:dyDescent="0.25">
      <c r="A12" s="307" t="s">
        <v>7</v>
      </c>
      <c r="B12" s="307"/>
      <c r="C12" s="11"/>
      <c r="D12" s="12">
        <f>SUM(D10:D11)</f>
        <v>939980884</v>
      </c>
    </row>
    <row r="13" spans="1:6" ht="18" customHeight="1" x14ac:dyDescent="0.25">
      <c r="A13" s="13" t="s">
        <v>8</v>
      </c>
      <c r="B13" s="13"/>
      <c r="C13" s="7"/>
      <c r="D13" s="14">
        <f>SUM(D14:D14)</f>
        <v>610987575</v>
      </c>
    </row>
    <row r="14" spans="1:6" x14ac:dyDescent="0.25">
      <c r="A14" s="7" t="s">
        <v>9</v>
      </c>
      <c r="B14" s="7"/>
      <c r="C14" s="7"/>
      <c r="D14" s="15">
        <v>610987575</v>
      </c>
    </row>
    <row r="15" spans="1:6" x14ac:dyDescent="0.25">
      <c r="A15" s="13" t="s">
        <v>10</v>
      </c>
      <c r="B15" s="13"/>
      <c r="C15" s="7"/>
      <c r="D15" s="14">
        <f>D12-D13</f>
        <v>328993309</v>
      </c>
    </row>
    <row r="16" spans="1:6" ht="19.5" customHeight="1" x14ac:dyDescent="0.25">
      <c r="A16" s="304" t="s">
        <v>11</v>
      </c>
      <c r="B16" s="304"/>
      <c r="C16" s="304"/>
      <c r="D16" s="16"/>
    </row>
    <row r="17" spans="1:6" x14ac:dyDescent="0.25">
      <c r="A17" s="308" t="s">
        <v>12</v>
      </c>
      <c r="B17" s="308"/>
      <c r="C17" s="308"/>
      <c r="D17" s="16">
        <v>223330140</v>
      </c>
      <c r="F17" s="149"/>
    </row>
    <row r="18" spans="1:6" x14ac:dyDescent="0.25">
      <c r="A18" s="7" t="s">
        <v>13</v>
      </c>
      <c r="B18" s="7"/>
      <c r="C18" s="7"/>
      <c r="D18" s="16">
        <v>4745453</v>
      </c>
    </row>
    <row r="19" spans="1:6" x14ac:dyDescent="0.25">
      <c r="A19" s="17" t="s">
        <v>14</v>
      </c>
      <c r="B19" s="17"/>
      <c r="C19" s="17"/>
      <c r="D19" s="16">
        <v>0</v>
      </c>
    </row>
    <row r="20" spans="1:6" ht="20.25" customHeight="1" x14ac:dyDescent="0.25">
      <c r="A20" s="309" t="s">
        <v>15</v>
      </c>
      <c r="B20" s="309"/>
      <c r="C20" s="7"/>
      <c r="D20" s="18">
        <f>SUM(D17:D19)</f>
        <v>228075593</v>
      </c>
    </row>
    <row r="21" spans="1:6" ht="23.25" customHeight="1" x14ac:dyDescent="0.25">
      <c r="A21" s="19" t="s">
        <v>16</v>
      </c>
      <c r="B21" s="19"/>
      <c r="C21" s="11"/>
      <c r="D21" s="20">
        <f>D15-D20</f>
        <v>100917716</v>
      </c>
    </row>
    <row r="22" spans="1:6" x14ac:dyDescent="0.25">
      <c r="A22" s="13" t="s">
        <v>17</v>
      </c>
      <c r="B22" s="13"/>
      <c r="C22" s="7"/>
      <c r="D22" s="14">
        <f>SUM(D23:D25)</f>
        <v>23933756</v>
      </c>
    </row>
    <row r="23" spans="1:6" x14ac:dyDescent="0.25">
      <c r="A23" s="7" t="s">
        <v>18</v>
      </c>
      <c r="B23" s="13"/>
      <c r="C23" s="7"/>
      <c r="D23" s="16">
        <v>687</v>
      </c>
    </row>
    <row r="24" spans="1:6" x14ac:dyDescent="0.25">
      <c r="A24" s="7" t="s">
        <v>352</v>
      </c>
      <c r="B24" s="7"/>
      <c r="C24" s="7"/>
      <c r="D24" s="16">
        <v>14760069</v>
      </c>
    </row>
    <row r="25" spans="1:6" x14ac:dyDescent="0.25">
      <c r="A25" s="7" t="s">
        <v>19</v>
      </c>
      <c r="B25" s="7"/>
      <c r="C25" s="7"/>
      <c r="D25" s="15">
        <v>9173000</v>
      </c>
    </row>
    <row r="26" spans="1:6" x14ac:dyDescent="0.25">
      <c r="A26" s="13" t="s">
        <v>20</v>
      </c>
      <c r="B26" s="13"/>
      <c r="C26" s="7"/>
      <c r="D26" s="14">
        <f>SUM(D27:D28)</f>
        <v>34689898</v>
      </c>
    </row>
    <row r="27" spans="1:6" x14ac:dyDescent="0.25">
      <c r="A27" s="7" t="s">
        <v>21</v>
      </c>
      <c r="B27" s="7"/>
      <c r="C27" s="7"/>
      <c r="D27" s="16">
        <v>34689898</v>
      </c>
      <c r="F27" s="149"/>
    </row>
    <row r="28" spans="1:6" x14ac:dyDescent="0.25">
      <c r="A28" s="7" t="s">
        <v>22</v>
      </c>
      <c r="B28" s="7"/>
      <c r="C28" s="7"/>
      <c r="D28" s="16">
        <v>0</v>
      </c>
    </row>
    <row r="29" spans="1:6" x14ac:dyDescent="0.25">
      <c r="A29" s="7" t="s">
        <v>23</v>
      </c>
      <c r="B29" s="7"/>
      <c r="C29" s="7"/>
      <c r="D29" s="14">
        <f>D21+D22-D26</f>
        <v>90161574</v>
      </c>
    </row>
    <row r="30" spans="1:6" x14ac:dyDescent="0.25">
      <c r="A30" s="7" t="s">
        <v>24</v>
      </c>
      <c r="B30" s="7"/>
      <c r="C30" s="7"/>
      <c r="D30" s="16">
        <v>0</v>
      </c>
    </row>
    <row r="31" spans="1:6" ht="17.25" customHeight="1" x14ac:dyDescent="0.25">
      <c r="A31" s="13" t="s">
        <v>25</v>
      </c>
      <c r="B31" s="13"/>
      <c r="C31" s="7"/>
      <c r="D31" s="14">
        <f>SUM(D29:D30)</f>
        <v>90161574</v>
      </c>
    </row>
    <row r="32" spans="1:6" x14ac:dyDescent="0.25">
      <c r="A32" s="7" t="s">
        <v>26</v>
      </c>
      <c r="B32" s="7"/>
      <c r="C32" s="7"/>
      <c r="D32" s="15">
        <v>0</v>
      </c>
    </row>
    <row r="33" spans="1:4" ht="25.5" customHeight="1" thickBot="1" x14ac:dyDescent="0.3">
      <c r="A33" s="19" t="s">
        <v>27</v>
      </c>
      <c r="B33" s="19"/>
      <c r="C33" s="11"/>
      <c r="D33" s="21">
        <f>SUM(D31:D32)</f>
        <v>90161574</v>
      </c>
    </row>
    <row r="34" spans="1:4" ht="15.75" thickTop="1" x14ac:dyDescent="0.25"/>
    <row r="36" spans="1:4" x14ac:dyDescent="0.25">
      <c r="A36" s="33"/>
      <c r="B36" s="33"/>
    </row>
    <row r="37" spans="1:4" x14ac:dyDescent="0.25">
      <c r="A37" s="33"/>
      <c r="B37" s="33"/>
      <c r="C37" s="34"/>
      <c r="D37" s="35"/>
    </row>
    <row r="38" spans="1:4" ht="15" customHeight="1" x14ac:dyDescent="0.25">
      <c r="A38" s="24"/>
      <c r="B38" s="24"/>
      <c r="C38" s="310"/>
      <c r="D38" s="310"/>
    </row>
    <row r="39" spans="1:4" x14ac:dyDescent="0.25">
      <c r="A39" s="311"/>
      <c r="B39" s="311"/>
      <c r="C39" s="311"/>
      <c r="D39" s="311"/>
    </row>
    <row r="40" spans="1:4" x14ac:dyDescent="0.25">
      <c r="C40" s="28"/>
      <c r="D40" s="28"/>
    </row>
  </sheetData>
  <mergeCells count="11">
    <mergeCell ref="A17:C17"/>
    <mergeCell ref="A20:B20"/>
    <mergeCell ref="C38:D38"/>
    <mergeCell ref="C39:D39"/>
    <mergeCell ref="A39:B39"/>
    <mergeCell ref="A16:C16"/>
    <mergeCell ref="A2:D2"/>
    <mergeCell ref="A3:D3"/>
    <mergeCell ref="A4:D4"/>
    <mergeCell ref="A5:D5"/>
    <mergeCell ref="A12:B12"/>
  </mergeCells>
  <pageMargins left="0.9055118110236221" right="0.70866141732283472" top="1.5354330708661419" bottom="0.74803149606299213" header="0.31496062992125984" footer="0.31496062992125984"/>
  <pageSetup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59A4A-6FDE-4174-BBB3-6B911E7EF8EB}">
  <sheetPr>
    <pageSetUpPr fitToPage="1"/>
  </sheetPr>
  <dimension ref="A1:G41"/>
  <sheetViews>
    <sheetView topLeftCell="A28" workbookViewId="0">
      <selection activeCell="A32" sqref="A32"/>
    </sheetView>
  </sheetViews>
  <sheetFormatPr baseColWidth="10" defaultRowHeight="15" x14ac:dyDescent="0.25"/>
  <cols>
    <col min="2" max="2" width="27.5703125" customWidth="1"/>
    <col min="3" max="3" width="29" customWidth="1"/>
    <col min="4" max="4" width="15.28515625" customWidth="1"/>
    <col min="6" max="6" width="13" bestFit="1" customWidth="1"/>
    <col min="7" max="7" width="14" bestFit="1" customWidth="1"/>
  </cols>
  <sheetData>
    <row r="1" spans="1:7" ht="15.75" thickBot="1" x14ac:dyDescent="0.3">
      <c r="A1" s="29"/>
      <c r="B1" s="29"/>
      <c r="C1" s="29"/>
      <c r="D1" s="29"/>
    </row>
    <row r="2" spans="1:7" ht="21" customHeight="1" thickTop="1" x14ac:dyDescent="0.25">
      <c r="A2" s="305" t="s">
        <v>252</v>
      </c>
      <c r="B2" s="305"/>
      <c r="C2" s="305"/>
      <c r="D2" s="305"/>
    </row>
    <row r="3" spans="1:7" ht="18" customHeight="1" x14ac:dyDescent="0.25">
      <c r="A3" s="305" t="s">
        <v>253</v>
      </c>
      <c r="B3" s="305"/>
      <c r="C3" s="305"/>
      <c r="D3" s="305"/>
    </row>
    <row r="4" spans="1:7" ht="18.75" customHeight="1" x14ac:dyDescent="0.25">
      <c r="A4" s="305" t="s">
        <v>0</v>
      </c>
      <c r="B4" s="305"/>
      <c r="C4" s="305"/>
      <c r="D4" s="305"/>
    </row>
    <row r="5" spans="1:7" ht="17.25" customHeight="1" thickBot="1" x14ac:dyDescent="0.3">
      <c r="A5" s="306" t="s">
        <v>369</v>
      </c>
      <c r="B5" s="306"/>
      <c r="C5" s="306"/>
      <c r="D5" s="306"/>
    </row>
    <row r="6" spans="1:7" ht="17.25" customHeight="1" thickTop="1" thickBot="1" x14ac:dyDescent="0.3">
      <c r="A6" s="30"/>
      <c r="B6" s="30"/>
      <c r="C6" s="30"/>
      <c r="D6" s="99" t="s">
        <v>2</v>
      </c>
    </row>
    <row r="7" spans="1:7" ht="19.5" customHeight="1" thickTop="1" x14ac:dyDescent="0.25">
      <c r="A7" s="30"/>
      <c r="B7" s="30"/>
      <c r="C7" s="30"/>
      <c r="D7" s="4">
        <v>2021</v>
      </c>
      <c r="E7" s="5"/>
    </row>
    <row r="8" spans="1:7" ht="21" customHeight="1" x14ac:dyDescent="0.25">
      <c r="A8" s="6" t="s">
        <v>3</v>
      </c>
      <c r="B8" s="7"/>
      <c r="C8" s="7"/>
      <c r="D8" s="8"/>
    </row>
    <row r="9" spans="1:7" x14ac:dyDescent="0.25">
      <c r="A9" s="6" t="s">
        <v>4</v>
      </c>
      <c r="B9" s="7"/>
      <c r="C9" s="7"/>
      <c r="D9" s="9"/>
    </row>
    <row r="10" spans="1:7" x14ac:dyDescent="0.25">
      <c r="A10" s="7" t="s">
        <v>5</v>
      </c>
      <c r="B10" s="7"/>
      <c r="C10" s="7"/>
      <c r="D10" s="10">
        <v>241356995</v>
      </c>
      <c r="F10" s="149"/>
      <c r="G10" s="149"/>
    </row>
    <row r="11" spans="1:7" x14ac:dyDescent="0.25">
      <c r="A11" s="7" t="s">
        <v>6</v>
      </c>
      <c r="B11" s="7"/>
      <c r="C11" s="7"/>
      <c r="D11" s="10">
        <v>0</v>
      </c>
    </row>
    <row r="12" spans="1:7" ht="25.5" customHeight="1" x14ac:dyDescent="0.25">
      <c r="A12" s="307" t="s">
        <v>7</v>
      </c>
      <c r="B12" s="307"/>
      <c r="C12" s="11"/>
      <c r="D12" s="12">
        <f>SUM(D10:D11)</f>
        <v>241356995</v>
      </c>
      <c r="F12" s="149"/>
      <c r="G12" s="149"/>
    </row>
    <row r="13" spans="1:7" ht="18" customHeight="1" x14ac:dyDescent="0.25">
      <c r="A13" s="13" t="s">
        <v>8</v>
      </c>
      <c r="B13" s="13"/>
      <c r="C13" s="7"/>
      <c r="D13" s="14">
        <f>SUM(D14:D14)</f>
        <v>139987070</v>
      </c>
      <c r="F13" s="149"/>
    </row>
    <row r="14" spans="1:7" x14ac:dyDescent="0.25">
      <c r="A14" s="7" t="s">
        <v>9</v>
      </c>
      <c r="B14" s="7"/>
      <c r="C14" s="7"/>
      <c r="D14" s="15">
        <v>139987070</v>
      </c>
      <c r="F14" s="149"/>
      <c r="G14" s="149"/>
    </row>
    <row r="15" spans="1:7" x14ac:dyDescent="0.25">
      <c r="A15" s="13" t="s">
        <v>10</v>
      </c>
      <c r="B15" s="13"/>
      <c r="C15" s="7"/>
      <c r="D15" s="14">
        <f>D12-D13</f>
        <v>101369925</v>
      </c>
    </row>
    <row r="16" spans="1:7" ht="19.5" customHeight="1" x14ac:dyDescent="0.25">
      <c r="A16" s="304" t="s">
        <v>11</v>
      </c>
      <c r="B16" s="304"/>
      <c r="C16" s="304"/>
      <c r="D16" s="16"/>
    </row>
    <row r="17" spans="1:7" x14ac:dyDescent="0.25">
      <c r="A17" s="308" t="s">
        <v>12</v>
      </c>
      <c r="B17" s="308"/>
      <c r="C17" s="308"/>
      <c r="D17" s="16">
        <v>73284937</v>
      </c>
      <c r="F17" s="149"/>
      <c r="G17" s="149"/>
    </row>
    <row r="18" spans="1:7" x14ac:dyDescent="0.25">
      <c r="A18" s="7" t="s">
        <v>13</v>
      </c>
      <c r="B18" s="7"/>
      <c r="C18" s="7"/>
      <c r="D18" s="16">
        <v>0</v>
      </c>
    </row>
    <row r="19" spans="1:7" x14ac:dyDescent="0.25">
      <c r="A19" s="17" t="s">
        <v>14</v>
      </c>
      <c r="B19" s="17"/>
      <c r="C19" s="17"/>
      <c r="D19" s="16">
        <v>0</v>
      </c>
    </row>
    <row r="20" spans="1:7" ht="20.25" customHeight="1" x14ac:dyDescent="0.25">
      <c r="A20" s="309" t="s">
        <v>15</v>
      </c>
      <c r="B20" s="309"/>
      <c r="C20" s="7"/>
      <c r="D20" s="18">
        <f>SUM(D17:D19)</f>
        <v>73284937</v>
      </c>
    </row>
    <row r="21" spans="1:7" ht="23.25" customHeight="1" x14ac:dyDescent="0.25">
      <c r="A21" s="19" t="s">
        <v>16</v>
      </c>
      <c r="B21" s="19"/>
      <c r="C21" s="11"/>
      <c r="D21" s="20">
        <f>D15-D20</f>
        <v>28084988</v>
      </c>
      <c r="F21" s="149"/>
    </row>
    <row r="22" spans="1:7" x14ac:dyDescent="0.25">
      <c r="A22" s="13" t="s">
        <v>17</v>
      </c>
      <c r="B22" s="13"/>
      <c r="C22" s="7"/>
      <c r="D22" s="14">
        <f>SUM(D23:D24)</f>
        <v>45402224</v>
      </c>
    </row>
    <row r="23" spans="1:7" x14ac:dyDescent="0.25">
      <c r="A23" s="7" t="s">
        <v>18</v>
      </c>
      <c r="B23" s="13"/>
      <c r="C23" s="7"/>
      <c r="D23" s="16">
        <v>88</v>
      </c>
      <c r="F23" s="149"/>
      <c r="G23" s="149"/>
    </row>
    <row r="24" spans="1:7" x14ac:dyDescent="0.25">
      <c r="A24" s="7" t="s">
        <v>22</v>
      </c>
      <c r="B24" s="7"/>
      <c r="C24" s="7"/>
      <c r="D24" s="15">
        <f>9215728+23224122+12962286</f>
        <v>45402136</v>
      </c>
      <c r="F24" s="149"/>
      <c r="G24" s="149"/>
    </row>
    <row r="25" spans="1:7" x14ac:dyDescent="0.25">
      <c r="A25" s="13" t="s">
        <v>20</v>
      </c>
      <c r="B25" s="13"/>
      <c r="C25" s="7"/>
      <c r="D25" s="14">
        <f>SUM(D26:D27)</f>
        <v>298888</v>
      </c>
    </row>
    <row r="26" spans="1:7" x14ac:dyDescent="0.25">
      <c r="A26" s="7" t="s">
        <v>21</v>
      </c>
      <c r="B26" s="7"/>
      <c r="C26" s="7"/>
      <c r="D26" s="16">
        <v>298888</v>
      </c>
      <c r="F26" s="149"/>
      <c r="G26" s="149"/>
    </row>
    <row r="27" spans="1:7" x14ac:dyDescent="0.25">
      <c r="A27" s="7" t="s">
        <v>22</v>
      </c>
      <c r="B27" s="7"/>
      <c r="C27" s="7"/>
      <c r="D27" s="15">
        <v>0</v>
      </c>
    </row>
    <row r="28" spans="1:7" x14ac:dyDescent="0.25">
      <c r="A28" s="7" t="s">
        <v>23</v>
      </c>
      <c r="B28" s="7"/>
      <c r="C28" s="7"/>
      <c r="D28" s="14">
        <f>D21+D22-D25</f>
        <v>73188324</v>
      </c>
    </row>
    <row r="29" spans="1:7" x14ac:dyDescent="0.25">
      <c r="A29" s="7" t="s">
        <v>24</v>
      </c>
      <c r="B29" s="7"/>
      <c r="C29" s="7"/>
      <c r="D29" s="16">
        <v>0</v>
      </c>
    </row>
    <row r="30" spans="1:7" ht="17.25" customHeight="1" x14ac:dyDescent="0.25">
      <c r="A30" s="13" t="s">
        <v>25</v>
      </c>
      <c r="B30" s="13"/>
      <c r="C30" s="7"/>
      <c r="D30" s="18">
        <f>SUM(D28:D29)</f>
        <v>73188324</v>
      </c>
    </row>
    <row r="31" spans="1:7" ht="25.5" customHeight="1" thickBot="1" x14ac:dyDescent="0.3">
      <c r="A31" s="19" t="s">
        <v>27</v>
      </c>
      <c r="B31" s="19"/>
      <c r="C31" s="11"/>
      <c r="D31" s="21">
        <f>SUM(D30:D30)</f>
        <v>73188324</v>
      </c>
    </row>
    <row r="32" spans="1:7" ht="15.75" thickTop="1" x14ac:dyDescent="0.25"/>
    <row r="33" spans="1:4" x14ac:dyDescent="0.25">
      <c r="A33" s="33"/>
      <c r="B33" s="33"/>
    </row>
    <row r="34" spans="1:4" x14ac:dyDescent="0.25">
      <c r="A34" s="33"/>
      <c r="B34" s="33"/>
    </row>
    <row r="35" spans="1:4" x14ac:dyDescent="0.25">
      <c r="A35" s="33"/>
      <c r="B35" s="33"/>
    </row>
    <row r="36" spans="1:4" x14ac:dyDescent="0.25">
      <c r="A36" s="33"/>
      <c r="B36" s="33"/>
    </row>
    <row r="37" spans="1:4" x14ac:dyDescent="0.25">
      <c r="A37" s="33"/>
      <c r="B37" s="33"/>
    </row>
    <row r="38" spans="1:4" x14ac:dyDescent="0.25">
      <c r="A38" s="33"/>
      <c r="B38" s="33"/>
      <c r="C38" s="34"/>
      <c r="D38" s="35"/>
    </row>
    <row r="39" spans="1:4" ht="15" customHeight="1" x14ac:dyDescent="0.25">
      <c r="A39" s="312"/>
      <c r="B39" s="312"/>
      <c r="C39" s="310"/>
      <c r="D39" s="310"/>
    </row>
    <row r="40" spans="1:4" x14ac:dyDescent="0.25">
      <c r="A40" s="311"/>
      <c r="B40" s="311"/>
      <c r="C40" s="311"/>
      <c r="D40" s="311"/>
    </row>
    <row r="41" spans="1:4" x14ac:dyDescent="0.25">
      <c r="C41" s="28"/>
      <c r="D41" s="28"/>
    </row>
  </sheetData>
  <mergeCells count="12">
    <mergeCell ref="A17:C17"/>
    <mergeCell ref="A20:B20"/>
    <mergeCell ref="A39:B39"/>
    <mergeCell ref="C39:D39"/>
    <mergeCell ref="C40:D40"/>
    <mergeCell ref="A40:B40"/>
    <mergeCell ref="A16:C16"/>
    <mergeCell ref="A2:D2"/>
    <mergeCell ref="A3:D3"/>
    <mergeCell ref="A4:D4"/>
    <mergeCell ref="A5:D5"/>
    <mergeCell ref="A12:B12"/>
  </mergeCells>
  <pageMargins left="0.9055118110236221" right="0.70866141732283472" top="1.5354330708661419" bottom="0.74803149606299213" header="0.31496062992125984" footer="0.31496062992125984"/>
  <pageSetup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1E41-AEE6-4308-8C80-864EA0E66D19}">
  <sheetPr>
    <pageSetUpPr fitToPage="1"/>
  </sheetPr>
  <dimension ref="A1:D43"/>
  <sheetViews>
    <sheetView topLeftCell="A27" workbookViewId="0">
      <selection activeCell="A40" sqref="A40"/>
    </sheetView>
  </sheetViews>
  <sheetFormatPr baseColWidth="10" defaultRowHeight="15" x14ac:dyDescent="0.25"/>
  <cols>
    <col min="1" max="1" width="66.28515625" customWidth="1"/>
    <col min="2" max="2" width="15.28515625" customWidth="1"/>
    <col min="4" max="4" width="13.5703125" bestFit="1" customWidth="1"/>
  </cols>
  <sheetData>
    <row r="1" spans="1:4" ht="15.75" thickBot="1" x14ac:dyDescent="0.3">
      <c r="A1" s="29"/>
      <c r="B1" s="29"/>
    </row>
    <row r="2" spans="1:4" ht="15.75" thickTop="1" x14ac:dyDescent="0.25">
      <c r="A2" s="305" t="s">
        <v>252</v>
      </c>
      <c r="B2" s="305"/>
    </row>
    <row r="3" spans="1:4" x14ac:dyDescent="0.25">
      <c r="A3" s="305" t="s">
        <v>253</v>
      </c>
      <c r="B3" s="305"/>
    </row>
    <row r="4" spans="1:4" ht="18.75" customHeight="1" x14ac:dyDescent="0.25">
      <c r="A4" s="305" t="s">
        <v>30</v>
      </c>
      <c r="B4" s="305"/>
    </row>
    <row r="5" spans="1:4" ht="23.25" customHeight="1" thickBot="1" x14ac:dyDescent="0.3">
      <c r="A5" s="306" t="s">
        <v>31</v>
      </c>
      <c r="B5" s="306"/>
    </row>
    <row r="6" spans="1:4" ht="17.25" customHeight="1" thickTop="1" thickBot="1" x14ac:dyDescent="0.3">
      <c r="A6" s="36"/>
      <c r="B6" s="37"/>
    </row>
    <row r="7" spans="1:4" ht="19.5" customHeight="1" thickTop="1" thickBot="1" x14ac:dyDescent="0.3">
      <c r="A7" s="82" t="s">
        <v>32</v>
      </c>
      <c r="B7" s="97" t="s">
        <v>33</v>
      </c>
    </row>
    <row r="8" spans="1:4" ht="15" customHeight="1" thickTop="1" x14ac:dyDescent="0.25">
      <c r="A8" s="83" t="s">
        <v>64</v>
      </c>
      <c r="B8" s="88"/>
    </row>
    <row r="9" spans="1:4" ht="23.25" customHeight="1" x14ac:dyDescent="0.25">
      <c r="A9" s="84" t="s">
        <v>34</v>
      </c>
      <c r="B9" s="89">
        <f>5176000+2037998</f>
        <v>7213998</v>
      </c>
    </row>
    <row r="10" spans="1:4" x14ac:dyDescent="0.25">
      <c r="A10" s="84" t="s">
        <v>54</v>
      </c>
      <c r="B10" s="89">
        <v>306451451</v>
      </c>
    </row>
    <row r="11" spans="1:4" x14ac:dyDescent="0.25">
      <c r="A11" s="84" t="s">
        <v>57</v>
      </c>
      <c r="B11" s="89">
        <f>17041000+125000</f>
        <v>17166000</v>
      </c>
    </row>
    <row r="12" spans="1:4" x14ac:dyDescent="0.25">
      <c r="A12" s="84" t="s">
        <v>35</v>
      </c>
      <c r="B12" s="90">
        <v>230276000</v>
      </c>
    </row>
    <row r="13" spans="1:4" x14ac:dyDescent="0.25">
      <c r="A13" s="83" t="s">
        <v>69</v>
      </c>
      <c r="B13" s="91">
        <f>SUM(B9:B12)</f>
        <v>561107449</v>
      </c>
    </row>
    <row r="14" spans="1:4" x14ac:dyDescent="0.25">
      <c r="A14" s="83" t="s">
        <v>70</v>
      </c>
      <c r="B14" s="92"/>
    </row>
    <row r="15" spans="1:4" x14ac:dyDescent="0.25">
      <c r="A15" s="84" t="s">
        <v>173</v>
      </c>
      <c r="B15" s="89">
        <f>B16+B17+B18+B19</f>
        <v>858648551</v>
      </c>
    </row>
    <row r="16" spans="1:4" x14ac:dyDescent="0.25">
      <c r="A16" s="84" t="s">
        <v>174</v>
      </c>
      <c r="B16" s="89">
        <v>260000000</v>
      </c>
      <c r="D16" s="149"/>
    </row>
    <row r="17" spans="1:4" x14ac:dyDescent="0.25">
      <c r="A17" s="84" t="s">
        <v>350</v>
      </c>
      <c r="B17" s="89">
        <v>590920000</v>
      </c>
    </row>
    <row r="18" spans="1:4" ht="18" customHeight="1" x14ac:dyDescent="0.25">
      <c r="A18" s="84" t="s">
        <v>219</v>
      </c>
      <c r="B18" s="89">
        <v>4580689</v>
      </c>
      <c r="D18" s="149"/>
    </row>
    <row r="19" spans="1:4" ht="18.75" customHeight="1" x14ac:dyDescent="0.25">
      <c r="A19" s="84" t="s">
        <v>220</v>
      </c>
      <c r="B19" s="89">
        <v>3147862</v>
      </c>
    </row>
    <row r="20" spans="1:4" ht="23.25" customHeight="1" x14ac:dyDescent="0.25">
      <c r="A20" s="83" t="s">
        <v>36</v>
      </c>
      <c r="B20" s="93">
        <f>B15</f>
        <v>858648551</v>
      </c>
    </row>
    <row r="21" spans="1:4" x14ac:dyDescent="0.25">
      <c r="A21" s="85" t="s">
        <v>37</v>
      </c>
      <c r="B21" s="20">
        <f>B13+B20</f>
        <v>1419756000</v>
      </c>
    </row>
    <row r="22" spans="1:4" x14ac:dyDescent="0.25">
      <c r="A22" s="82" t="s">
        <v>38</v>
      </c>
      <c r="B22" s="92"/>
    </row>
    <row r="23" spans="1:4" x14ac:dyDescent="0.25">
      <c r="A23" s="83" t="s">
        <v>39</v>
      </c>
      <c r="B23" s="92"/>
    </row>
    <row r="24" spans="1:4" x14ac:dyDescent="0.25">
      <c r="A24" s="86" t="s">
        <v>40</v>
      </c>
      <c r="B24" s="89">
        <v>705203054</v>
      </c>
    </row>
    <row r="25" spans="1:4" x14ac:dyDescent="0.25">
      <c r="A25" s="86" t="s">
        <v>41</v>
      </c>
      <c r="B25" s="89">
        <f>1946000+1824580</f>
        <v>3770580</v>
      </c>
    </row>
    <row r="26" spans="1:4" x14ac:dyDescent="0.25">
      <c r="A26" s="86" t="s">
        <v>42</v>
      </c>
      <c r="B26" s="100">
        <v>0</v>
      </c>
    </row>
    <row r="27" spans="1:4" x14ac:dyDescent="0.25">
      <c r="A27" s="83" t="s">
        <v>43</v>
      </c>
      <c r="B27" s="91">
        <f>B24+B25+B26</f>
        <v>708973634</v>
      </c>
    </row>
    <row r="28" spans="1:4" ht="20.25" customHeight="1" x14ac:dyDescent="0.25">
      <c r="A28" s="82" t="s">
        <v>44</v>
      </c>
      <c r="B28" s="92"/>
    </row>
    <row r="29" spans="1:4" ht="18" customHeight="1" x14ac:dyDescent="0.25">
      <c r="A29" s="84" t="s">
        <v>45</v>
      </c>
      <c r="B29" s="90">
        <v>596697366</v>
      </c>
    </row>
    <row r="30" spans="1:4" ht="20.25" customHeight="1" x14ac:dyDescent="0.25">
      <c r="A30" s="83" t="s">
        <v>46</v>
      </c>
      <c r="B30" s="93">
        <f>SUM(B29:B29)</f>
        <v>596697366</v>
      </c>
    </row>
    <row r="31" spans="1:4" x14ac:dyDescent="0.25">
      <c r="A31" s="87" t="s">
        <v>47</v>
      </c>
      <c r="B31" s="12">
        <f>B27+B30</f>
        <v>1305671000</v>
      </c>
    </row>
    <row r="32" spans="1:4" x14ac:dyDescent="0.25">
      <c r="A32" s="83" t="s">
        <v>48</v>
      </c>
      <c r="B32" s="89"/>
    </row>
    <row r="33" spans="1:4" x14ac:dyDescent="0.25">
      <c r="A33" s="84" t="s">
        <v>55</v>
      </c>
      <c r="B33" s="89">
        <v>5000000</v>
      </c>
    </row>
    <row r="34" spans="1:4" ht="19.5" customHeight="1" x14ac:dyDescent="0.25">
      <c r="A34" s="84" t="s">
        <v>49</v>
      </c>
      <c r="B34" s="89">
        <v>109085000</v>
      </c>
    </row>
    <row r="35" spans="1:4" ht="19.5" customHeight="1" x14ac:dyDescent="0.25">
      <c r="A35" s="84" t="s">
        <v>50</v>
      </c>
      <c r="B35" s="90">
        <f>B21-B31-B33-B34</f>
        <v>0</v>
      </c>
    </row>
    <row r="36" spans="1:4" x14ac:dyDescent="0.25">
      <c r="A36" s="83" t="s">
        <v>51</v>
      </c>
      <c r="B36" s="95">
        <f>SUM(B33:B35)</f>
        <v>114085000</v>
      </c>
    </row>
    <row r="37" spans="1:4" ht="15.75" thickBot="1" x14ac:dyDescent="0.3">
      <c r="A37" s="19" t="s">
        <v>52</v>
      </c>
      <c r="B37" s="21">
        <f>B31+B36</f>
        <v>1419756000</v>
      </c>
    </row>
    <row r="38" spans="1:4" ht="15.75" thickTop="1" x14ac:dyDescent="0.25">
      <c r="A38" s="33"/>
      <c r="B38" s="33"/>
    </row>
    <row r="39" spans="1:4" x14ac:dyDescent="0.25">
      <c r="A39" s="33"/>
      <c r="B39" s="33"/>
    </row>
    <row r="40" spans="1:4" ht="18" customHeight="1" x14ac:dyDescent="0.35">
      <c r="A40" s="33"/>
      <c r="B40" s="33"/>
      <c r="C40" s="38"/>
      <c r="D40" s="38"/>
    </row>
    <row r="41" spans="1:4" ht="18" x14ac:dyDescent="0.35">
      <c r="A41" s="24"/>
      <c r="B41" s="33"/>
      <c r="C41" s="39"/>
      <c r="D41" s="39"/>
    </row>
    <row r="42" spans="1:4" x14ac:dyDescent="0.25">
      <c r="A42" s="26"/>
      <c r="B42" s="24"/>
    </row>
    <row r="43" spans="1:4" x14ac:dyDescent="0.25">
      <c r="A43" s="150"/>
      <c r="B43" s="150"/>
    </row>
  </sheetData>
  <mergeCells count="4">
    <mergeCell ref="A4:B4"/>
    <mergeCell ref="A5:B5"/>
    <mergeCell ref="A2:B2"/>
    <mergeCell ref="A3:B3"/>
  </mergeCells>
  <pageMargins left="0.9055118110236221" right="0.70866141732283472" top="1.3385826771653544"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2547-C3E8-447C-9A3D-B805004474CE}">
  <sheetPr>
    <pageSetUpPr fitToPage="1"/>
  </sheetPr>
  <dimension ref="A1:D44"/>
  <sheetViews>
    <sheetView topLeftCell="A36" workbookViewId="0">
      <selection activeCell="A42" sqref="A42:A46"/>
    </sheetView>
  </sheetViews>
  <sheetFormatPr baseColWidth="10" defaultRowHeight="15" x14ac:dyDescent="0.25"/>
  <cols>
    <col min="1" max="1" width="67.28515625" customWidth="1"/>
    <col min="2" max="2" width="15.28515625" customWidth="1"/>
    <col min="3" max="3" width="13.5703125" bestFit="1" customWidth="1"/>
  </cols>
  <sheetData>
    <row r="1" spans="1:2" ht="15.75" thickBot="1" x14ac:dyDescent="0.3">
      <c r="A1" s="29"/>
      <c r="B1" s="29"/>
    </row>
    <row r="2" spans="1:2" ht="15.75" thickTop="1" x14ac:dyDescent="0.25">
      <c r="A2" s="305" t="s">
        <v>252</v>
      </c>
      <c r="B2" s="305"/>
    </row>
    <row r="3" spans="1:2" x14ac:dyDescent="0.25">
      <c r="A3" s="305" t="s">
        <v>253</v>
      </c>
      <c r="B3" s="305"/>
    </row>
    <row r="4" spans="1:2" ht="18.75" customHeight="1" x14ac:dyDescent="0.25">
      <c r="A4" s="305" t="s">
        <v>30</v>
      </c>
      <c r="B4" s="305"/>
    </row>
    <row r="5" spans="1:2" ht="20.25" customHeight="1" thickBot="1" x14ac:dyDescent="0.3">
      <c r="A5" s="306" t="s">
        <v>247</v>
      </c>
      <c r="B5" s="306"/>
    </row>
    <row r="6" spans="1:2" ht="17.25" customHeight="1" thickTop="1" thickBot="1" x14ac:dyDescent="0.3">
      <c r="A6" s="36"/>
      <c r="B6" s="37"/>
    </row>
    <row r="7" spans="1:2" ht="19.5" customHeight="1" thickTop="1" thickBot="1" x14ac:dyDescent="0.3">
      <c r="A7" s="82" t="s">
        <v>32</v>
      </c>
      <c r="B7" s="97" t="s">
        <v>53</v>
      </c>
    </row>
    <row r="8" spans="1:2" ht="15" customHeight="1" thickTop="1" x14ac:dyDescent="0.25">
      <c r="A8" s="83" t="s">
        <v>64</v>
      </c>
      <c r="B8" s="88"/>
    </row>
    <row r="9" spans="1:2" ht="23.25" customHeight="1" x14ac:dyDescent="0.25">
      <c r="A9" s="84" t="s">
        <v>34</v>
      </c>
      <c r="B9" s="89">
        <f>6240000+2509702</f>
        <v>8749702</v>
      </c>
    </row>
    <row r="10" spans="1:2" x14ac:dyDescent="0.25">
      <c r="A10" s="84" t="s">
        <v>54</v>
      </c>
      <c r="B10" s="89">
        <v>317635920</v>
      </c>
    </row>
    <row r="11" spans="1:2" x14ac:dyDescent="0.25">
      <c r="A11" s="84" t="s">
        <v>57</v>
      </c>
      <c r="B11" s="89">
        <v>19138367</v>
      </c>
    </row>
    <row r="12" spans="1:2" x14ac:dyDescent="0.25">
      <c r="A12" s="84" t="s">
        <v>248</v>
      </c>
      <c r="B12" s="89">
        <v>300000</v>
      </c>
    </row>
    <row r="13" spans="1:2" x14ac:dyDescent="0.25">
      <c r="A13" s="84" t="s">
        <v>35</v>
      </c>
      <c r="B13" s="89">
        <v>440830118</v>
      </c>
    </row>
    <row r="14" spans="1:2" x14ac:dyDescent="0.25">
      <c r="A14" s="83" t="s">
        <v>69</v>
      </c>
      <c r="B14" s="91">
        <f>SUM(B9:B13)</f>
        <v>786654107</v>
      </c>
    </row>
    <row r="15" spans="1:2" x14ac:dyDescent="0.25">
      <c r="A15" s="83" t="s">
        <v>70</v>
      </c>
      <c r="B15" s="92"/>
    </row>
    <row r="16" spans="1:2" x14ac:dyDescent="0.25">
      <c r="A16" s="84" t="s">
        <v>173</v>
      </c>
      <c r="B16" s="89">
        <f>SUM(B17+B18+B19)</f>
        <v>270162862</v>
      </c>
    </row>
    <row r="17" spans="1:3" x14ac:dyDescent="0.25">
      <c r="A17" s="84" t="s">
        <v>174</v>
      </c>
      <c r="B17" s="89">
        <v>260000000</v>
      </c>
    </row>
    <row r="18" spans="1:3" ht="18" customHeight="1" x14ac:dyDescent="0.25">
      <c r="A18" s="84" t="s">
        <v>219</v>
      </c>
      <c r="B18" s="89">
        <v>7015000</v>
      </c>
      <c r="C18" s="149"/>
    </row>
    <row r="19" spans="1:3" ht="18.75" customHeight="1" x14ac:dyDescent="0.25">
      <c r="A19" s="84" t="s">
        <v>220</v>
      </c>
      <c r="B19" s="89">
        <v>3147862</v>
      </c>
    </row>
    <row r="20" spans="1:3" ht="23.25" customHeight="1" x14ac:dyDescent="0.25">
      <c r="A20" s="84" t="s">
        <v>350</v>
      </c>
      <c r="B20" s="89">
        <v>462200000</v>
      </c>
    </row>
    <row r="21" spans="1:3" x14ac:dyDescent="0.25">
      <c r="A21" s="83" t="s">
        <v>36</v>
      </c>
      <c r="B21" s="93">
        <f>SUM(B16+B20)</f>
        <v>732362862</v>
      </c>
    </row>
    <row r="22" spans="1:3" x14ac:dyDescent="0.25">
      <c r="A22" s="85" t="s">
        <v>37</v>
      </c>
      <c r="B22" s="20">
        <f>B14+B21</f>
        <v>1519016969</v>
      </c>
    </row>
    <row r="23" spans="1:3" x14ac:dyDescent="0.25">
      <c r="A23" s="82" t="s">
        <v>38</v>
      </c>
      <c r="B23" s="92"/>
    </row>
    <row r="24" spans="1:3" x14ac:dyDescent="0.25">
      <c r="A24" s="83" t="s">
        <v>39</v>
      </c>
      <c r="B24" s="92"/>
    </row>
    <row r="25" spans="1:3" x14ac:dyDescent="0.25">
      <c r="A25" s="86" t="s">
        <v>40</v>
      </c>
      <c r="B25" s="89">
        <v>731123938</v>
      </c>
    </row>
    <row r="26" spans="1:3" x14ac:dyDescent="0.25">
      <c r="A26" s="86" t="s">
        <v>41</v>
      </c>
      <c r="B26" s="89">
        <v>19004000</v>
      </c>
    </row>
    <row r="27" spans="1:3" x14ac:dyDescent="0.25">
      <c r="A27" s="86" t="s">
        <v>351</v>
      </c>
      <c r="B27" s="100">
        <f>8080704+888100</f>
        <v>8968804</v>
      </c>
    </row>
    <row r="28" spans="1:3" ht="20.25" customHeight="1" x14ac:dyDescent="0.25">
      <c r="A28" s="83" t="s">
        <v>43</v>
      </c>
      <c r="B28" s="91">
        <f>B25+B26+B27</f>
        <v>759096742</v>
      </c>
    </row>
    <row r="29" spans="1:3" ht="18" customHeight="1" x14ac:dyDescent="0.25">
      <c r="A29" s="82" t="s">
        <v>44</v>
      </c>
      <c r="B29" s="92"/>
    </row>
    <row r="30" spans="1:3" ht="20.25" customHeight="1" x14ac:dyDescent="0.25">
      <c r="A30" s="84" t="s">
        <v>45</v>
      </c>
      <c r="B30" s="90">
        <v>634702475</v>
      </c>
    </row>
    <row r="31" spans="1:3" x14ac:dyDescent="0.25">
      <c r="A31" s="83" t="s">
        <v>46</v>
      </c>
      <c r="B31" s="93">
        <f>SUM(B30:B30)</f>
        <v>634702475</v>
      </c>
    </row>
    <row r="32" spans="1:3" x14ac:dyDescent="0.25">
      <c r="A32" s="87" t="s">
        <v>47</v>
      </c>
      <c r="B32" s="12">
        <f>B28+B31</f>
        <v>1393799217</v>
      </c>
    </row>
    <row r="33" spans="1:4" x14ac:dyDescent="0.25">
      <c r="A33" s="83" t="s">
        <v>48</v>
      </c>
      <c r="B33" s="89"/>
    </row>
    <row r="34" spans="1:4" ht="19.5" customHeight="1" x14ac:dyDescent="0.25">
      <c r="A34" s="84" t="s">
        <v>55</v>
      </c>
      <c r="B34" s="89">
        <v>5000000</v>
      </c>
    </row>
    <row r="35" spans="1:4" ht="19.5" customHeight="1" x14ac:dyDescent="0.25">
      <c r="A35" s="84" t="s">
        <v>49</v>
      </c>
      <c r="B35" s="89">
        <v>120217752</v>
      </c>
    </row>
    <row r="36" spans="1:4" x14ac:dyDescent="0.25">
      <c r="A36" s="84" t="s">
        <v>50</v>
      </c>
      <c r="B36" s="90">
        <f>B22-B32-B34-B35</f>
        <v>0</v>
      </c>
    </row>
    <row r="37" spans="1:4" x14ac:dyDescent="0.25">
      <c r="A37" s="83" t="s">
        <v>51</v>
      </c>
      <c r="B37" s="95">
        <f>SUM(B34:B36)</f>
        <v>125217752</v>
      </c>
    </row>
    <row r="38" spans="1:4" ht="15.75" thickBot="1" x14ac:dyDescent="0.3">
      <c r="A38" s="19" t="s">
        <v>52</v>
      </c>
      <c r="B38" s="21">
        <f>B32+B37</f>
        <v>1519016969</v>
      </c>
    </row>
    <row r="39" spans="1:4" ht="15.75" thickTop="1" x14ac:dyDescent="0.25">
      <c r="A39" s="33"/>
      <c r="B39" s="33"/>
    </row>
    <row r="40" spans="1:4" x14ac:dyDescent="0.25">
      <c r="A40" s="33"/>
      <c r="B40" s="33"/>
      <c r="C40" s="311"/>
      <c r="D40" s="311"/>
    </row>
    <row r="41" spans="1:4" x14ac:dyDescent="0.25">
      <c r="A41" s="33"/>
      <c r="B41" s="33"/>
    </row>
    <row r="42" spans="1:4" x14ac:dyDescent="0.25">
      <c r="A42" s="33"/>
      <c r="B42" s="33"/>
    </row>
    <row r="43" spans="1:4" x14ac:dyDescent="0.25">
      <c r="A43" s="24"/>
      <c r="B43" s="24"/>
    </row>
    <row r="44" spans="1:4" x14ac:dyDescent="0.25">
      <c r="A44" s="26"/>
      <c r="B44" s="27"/>
    </row>
  </sheetData>
  <mergeCells count="5">
    <mergeCell ref="A2:B2"/>
    <mergeCell ref="A3:B3"/>
    <mergeCell ref="C40:D40"/>
    <mergeCell ref="A4:B4"/>
    <mergeCell ref="A5:B5"/>
  </mergeCells>
  <pageMargins left="0.9055118110236221" right="0.70866141732283472" top="1.3385826771653544" bottom="0.74803149606299213" header="0.31496062992125984" footer="0.31496062992125984"/>
  <pageSetup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B8EE-B3AB-4C04-9E50-E30E6D48EFA8}">
  <sheetPr>
    <pageSetUpPr fitToPage="1"/>
  </sheetPr>
  <dimension ref="A1:D44"/>
  <sheetViews>
    <sheetView topLeftCell="A31" zoomScaleNormal="100" workbookViewId="0">
      <selection activeCell="A41" sqref="A41"/>
    </sheetView>
  </sheetViews>
  <sheetFormatPr baseColWidth="10" defaultRowHeight="15" x14ac:dyDescent="0.25"/>
  <cols>
    <col min="1" max="1" width="65.140625" customWidth="1"/>
    <col min="2" max="2" width="16.28515625" customWidth="1"/>
    <col min="4" max="4" width="13.5703125" bestFit="1" customWidth="1"/>
  </cols>
  <sheetData>
    <row r="1" spans="1:2" ht="15.75" thickBot="1" x14ac:dyDescent="0.3">
      <c r="A1" s="29"/>
      <c r="B1" s="29"/>
    </row>
    <row r="2" spans="1:2" ht="18.75" customHeight="1" thickTop="1" x14ac:dyDescent="0.25">
      <c r="A2" s="305" t="s">
        <v>252</v>
      </c>
      <c r="B2" s="305"/>
    </row>
    <row r="3" spans="1:2" ht="23.25" customHeight="1" x14ac:dyDescent="0.25">
      <c r="A3" s="305" t="s">
        <v>253</v>
      </c>
      <c r="B3" s="305"/>
    </row>
    <row r="4" spans="1:2" ht="17.25" customHeight="1" x14ac:dyDescent="0.25">
      <c r="A4" s="305" t="s">
        <v>30</v>
      </c>
      <c r="B4" s="305"/>
    </row>
    <row r="5" spans="1:2" ht="19.5" customHeight="1" thickBot="1" x14ac:dyDescent="0.3">
      <c r="A5" s="306" t="s">
        <v>29</v>
      </c>
      <c r="B5" s="306"/>
    </row>
    <row r="6" spans="1:2" ht="15" customHeight="1" thickTop="1" thickBot="1" x14ac:dyDescent="0.3">
      <c r="A6" s="36"/>
      <c r="B6" s="37"/>
    </row>
    <row r="7" spans="1:2" ht="23.25" customHeight="1" thickTop="1" thickBot="1" x14ac:dyDescent="0.3">
      <c r="A7" s="82" t="s">
        <v>32</v>
      </c>
      <c r="B7" s="97" t="s">
        <v>56</v>
      </c>
    </row>
    <row r="8" spans="1:2" ht="15.75" thickTop="1" x14ac:dyDescent="0.25">
      <c r="A8" s="83" t="s">
        <v>64</v>
      </c>
      <c r="B8" s="88"/>
    </row>
    <row r="9" spans="1:2" x14ac:dyDescent="0.25">
      <c r="A9" s="84" t="s">
        <v>34</v>
      </c>
      <c r="B9" s="89">
        <f>1120000+1027066</f>
        <v>2147066</v>
      </c>
    </row>
    <row r="10" spans="1:2" x14ac:dyDescent="0.25">
      <c r="A10" s="84" t="s">
        <v>248</v>
      </c>
      <c r="B10" s="89">
        <v>300000</v>
      </c>
    </row>
    <row r="11" spans="1:2" x14ac:dyDescent="0.25">
      <c r="A11" s="84" t="s">
        <v>54</v>
      </c>
      <c r="B11" s="89">
        <v>165626767</v>
      </c>
    </row>
    <row r="12" spans="1:2" x14ac:dyDescent="0.25">
      <c r="A12" s="84" t="s">
        <v>57</v>
      </c>
      <c r="B12" s="89">
        <f>163570016+18327094</f>
        <v>181897110</v>
      </c>
    </row>
    <row r="13" spans="1:2" x14ac:dyDescent="0.25">
      <c r="A13" s="84" t="s">
        <v>35</v>
      </c>
      <c r="B13" s="90">
        <v>186382387</v>
      </c>
    </row>
    <row r="14" spans="1:2" x14ac:dyDescent="0.25">
      <c r="A14" s="83" t="s">
        <v>69</v>
      </c>
      <c r="B14" s="91">
        <f>SUM(B9:B13)</f>
        <v>536353330</v>
      </c>
    </row>
    <row r="15" spans="1:2" x14ac:dyDescent="0.25">
      <c r="A15" s="83" t="s">
        <v>70</v>
      </c>
      <c r="B15" s="92"/>
    </row>
    <row r="16" spans="1:2" x14ac:dyDescent="0.25">
      <c r="A16" s="84" t="s">
        <v>173</v>
      </c>
      <c r="B16" s="89">
        <f>SUM(B17+B18+B19)</f>
        <v>300000000</v>
      </c>
    </row>
    <row r="17" spans="1:2" x14ac:dyDescent="0.25">
      <c r="A17" s="84" t="s">
        <v>174</v>
      </c>
      <c r="B17" s="89">
        <v>300000000</v>
      </c>
    </row>
    <row r="18" spans="1:2" x14ac:dyDescent="0.25">
      <c r="A18" s="84" t="s">
        <v>248</v>
      </c>
      <c r="B18" s="89">
        <v>0</v>
      </c>
    </row>
    <row r="19" spans="1:2" x14ac:dyDescent="0.25">
      <c r="A19" s="84" t="s">
        <v>220</v>
      </c>
      <c r="B19" s="89">
        <v>0</v>
      </c>
    </row>
    <row r="20" spans="1:2" x14ac:dyDescent="0.25">
      <c r="A20" s="84" t="s">
        <v>350</v>
      </c>
      <c r="B20" s="90">
        <v>590920000</v>
      </c>
    </row>
    <row r="21" spans="1:2" ht="18" customHeight="1" x14ac:dyDescent="0.25">
      <c r="A21" s="83" t="s">
        <v>36</v>
      </c>
      <c r="B21" s="93">
        <f>SUM(B16+B20)</f>
        <v>890920000</v>
      </c>
    </row>
    <row r="22" spans="1:2" ht="18.75" customHeight="1" x14ac:dyDescent="0.25">
      <c r="A22" s="85" t="s">
        <v>37</v>
      </c>
      <c r="B22" s="20">
        <f>B14+B21</f>
        <v>1427273330</v>
      </c>
    </row>
    <row r="23" spans="1:2" ht="23.25" customHeight="1" x14ac:dyDescent="0.25">
      <c r="A23" s="82" t="s">
        <v>38</v>
      </c>
      <c r="B23" s="92"/>
    </row>
    <row r="24" spans="1:2" x14ac:dyDescent="0.25">
      <c r="A24" s="83" t="s">
        <v>39</v>
      </c>
      <c r="B24" s="92"/>
    </row>
    <row r="25" spans="1:2" x14ac:dyDescent="0.25">
      <c r="A25" s="86" t="s">
        <v>40</v>
      </c>
      <c r="B25" s="89">
        <v>619928494</v>
      </c>
    </row>
    <row r="26" spans="1:2" x14ac:dyDescent="0.25">
      <c r="A26" s="86" t="s">
        <v>41</v>
      </c>
      <c r="B26" s="89">
        <v>28870000</v>
      </c>
    </row>
    <row r="27" spans="1:2" x14ac:dyDescent="0.25">
      <c r="A27" s="86" t="s">
        <v>351</v>
      </c>
      <c r="B27" s="100">
        <f>8063231+1772600</f>
        <v>9835831</v>
      </c>
    </row>
    <row r="28" spans="1:2" x14ac:dyDescent="0.25">
      <c r="A28" s="83" t="s">
        <v>43</v>
      </c>
      <c r="B28" s="91">
        <f>B25+B26+B27</f>
        <v>658634325</v>
      </c>
    </row>
    <row r="29" spans="1:2" x14ac:dyDescent="0.25">
      <c r="A29" s="82" t="s">
        <v>44</v>
      </c>
      <c r="B29" s="92"/>
    </row>
    <row r="30" spans="1:2" x14ac:dyDescent="0.25">
      <c r="A30" s="84" t="s">
        <v>45</v>
      </c>
      <c r="B30" s="90">
        <v>673477431</v>
      </c>
    </row>
    <row r="31" spans="1:2" ht="20.25" customHeight="1" x14ac:dyDescent="0.25">
      <c r="A31" s="83" t="s">
        <v>46</v>
      </c>
      <c r="B31" s="93">
        <f>SUM(B30:B30)</f>
        <v>673477431</v>
      </c>
    </row>
    <row r="32" spans="1:2" ht="18" customHeight="1" x14ac:dyDescent="0.25">
      <c r="A32" s="87" t="s">
        <v>47</v>
      </c>
      <c r="B32" s="12">
        <f>B28+B31</f>
        <v>1332111756</v>
      </c>
    </row>
    <row r="33" spans="1:4" ht="20.25" customHeight="1" x14ac:dyDescent="0.25">
      <c r="A33" s="83" t="s">
        <v>48</v>
      </c>
      <c r="B33" s="89"/>
    </row>
    <row r="34" spans="1:4" x14ac:dyDescent="0.25">
      <c r="A34" s="84" t="s">
        <v>55</v>
      </c>
      <c r="B34" s="89">
        <v>5000000</v>
      </c>
    </row>
    <row r="35" spans="1:4" x14ac:dyDescent="0.25">
      <c r="A35" s="84" t="s">
        <v>49</v>
      </c>
      <c r="B35" s="89">
        <v>90161574</v>
      </c>
    </row>
    <row r="36" spans="1:4" x14ac:dyDescent="0.25">
      <c r="A36" s="84" t="s">
        <v>50</v>
      </c>
      <c r="B36" s="90">
        <f>B22-B32-B34-B35</f>
        <v>0</v>
      </c>
    </row>
    <row r="37" spans="1:4" ht="19.5" customHeight="1" x14ac:dyDescent="0.25">
      <c r="A37" s="83" t="s">
        <v>51</v>
      </c>
      <c r="B37" s="95">
        <f>SUM(B34:B36)</f>
        <v>95161574</v>
      </c>
      <c r="D37" s="149"/>
    </row>
    <row r="38" spans="1:4" ht="19.5" customHeight="1" thickBot="1" x14ac:dyDescent="0.3">
      <c r="A38" s="19" t="s">
        <v>52</v>
      </c>
      <c r="B38" s="21">
        <f>B32+B37</f>
        <v>1427273330</v>
      </c>
    </row>
    <row r="39" spans="1:4" ht="15.75" thickTop="1" x14ac:dyDescent="0.25">
      <c r="A39" s="33"/>
      <c r="B39" s="33"/>
    </row>
    <row r="40" spans="1:4" x14ac:dyDescent="0.25">
      <c r="A40" s="33"/>
      <c r="B40" s="33"/>
    </row>
    <row r="41" spans="1:4" x14ac:dyDescent="0.25">
      <c r="A41" s="24"/>
      <c r="B41" s="33"/>
    </row>
    <row r="42" spans="1:4" x14ac:dyDescent="0.25">
      <c r="A42" s="26"/>
      <c r="B42" s="33"/>
    </row>
    <row r="43" spans="1:4" ht="18" customHeight="1" x14ac:dyDescent="0.25">
      <c r="A43" s="150"/>
      <c r="B43" s="24"/>
      <c r="C43" s="24"/>
    </row>
    <row r="44" spans="1:4" x14ac:dyDescent="0.25">
      <c r="B44" s="150"/>
      <c r="C44" s="26"/>
      <c r="D44" s="26"/>
    </row>
  </sheetData>
  <mergeCells count="4">
    <mergeCell ref="A2:B2"/>
    <mergeCell ref="A3:B3"/>
    <mergeCell ref="A4:B4"/>
    <mergeCell ref="A5:B5"/>
  </mergeCells>
  <pageMargins left="0.9055118110236221" right="0.70866141732283472" top="1.5354330708661419" bottom="0.74803149606299213" header="0.31496062992125984" footer="0.31496062992125984"/>
  <pageSetup scale="87"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D85B-CBCD-4C36-AAD3-15EB433988A9}">
  <sheetPr>
    <pageSetUpPr fitToPage="1"/>
  </sheetPr>
  <dimension ref="A1:E47"/>
  <sheetViews>
    <sheetView showGridLines="0" topLeftCell="A30" workbookViewId="0">
      <selection activeCell="E40" sqref="E40"/>
    </sheetView>
  </sheetViews>
  <sheetFormatPr baseColWidth="10" defaultRowHeight="15" x14ac:dyDescent="0.25"/>
  <cols>
    <col min="1" max="1" width="66.5703125" customWidth="1"/>
    <col min="2" max="2" width="16.28515625" customWidth="1"/>
    <col min="4" max="4" width="12.5703125" bestFit="1" customWidth="1"/>
    <col min="5" max="5" width="13" bestFit="1" customWidth="1"/>
  </cols>
  <sheetData>
    <row r="1" spans="1:5" ht="15.75" thickBot="1" x14ac:dyDescent="0.3">
      <c r="A1" s="29"/>
      <c r="B1" s="29"/>
    </row>
    <row r="2" spans="1:5" ht="18.75" customHeight="1" thickTop="1" x14ac:dyDescent="0.25">
      <c r="A2" s="305" t="s">
        <v>252</v>
      </c>
      <c r="B2" s="305"/>
    </row>
    <row r="3" spans="1:5" ht="20.25" customHeight="1" x14ac:dyDescent="0.25">
      <c r="A3" s="305" t="s">
        <v>253</v>
      </c>
      <c r="B3" s="305"/>
    </row>
    <row r="4" spans="1:5" ht="17.25" customHeight="1" x14ac:dyDescent="0.25">
      <c r="A4" s="305" t="s">
        <v>30</v>
      </c>
      <c r="B4" s="305"/>
    </row>
    <row r="5" spans="1:5" ht="19.5" customHeight="1" thickBot="1" x14ac:dyDescent="0.3">
      <c r="A5" s="306" t="s">
        <v>369</v>
      </c>
      <c r="B5" s="306"/>
    </row>
    <row r="6" spans="1:5" ht="15" customHeight="1" thickTop="1" thickBot="1" x14ac:dyDescent="0.3">
      <c r="A6" s="36"/>
      <c r="B6" s="37"/>
    </row>
    <row r="7" spans="1:5" ht="23.25" customHeight="1" thickTop="1" thickBot="1" x14ac:dyDescent="0.3">
      <c r="A7" s="82" t="s">
        <v>32</v>
      </c>
      <c r="B7" s="97" t="s">
        <v>58</v>
      </c>
    </row>
    <row r="8" spans="1:5" ht="15.75" thickTop="1" x14ac:dyDescent="0.25">
      <c r="A8" s="83" t="s">
        <v>64</v>
      </c>
      <c r="B8" s="88"/>
    </row>
    <row r="9" spans="1:5" x14ac:dyDescent="0.25">
      <c r="A9" s="84" t="s">
        <v>34</v>
      </c>
      <c r="B9" s="89">
        <v>1287780</v>
      </c>
      <c r="D9" s="149"/>
      <c r="E9" s="149"/>
    </row>
    <row r="10" spans="1:5" x14ac:dyDescent="0.25">
      <c r="A10" s="84" t="s">
        <v>54</v>
      </c>
      <c r="B10" s="89">
        <v>100824202</v>
      </c>
    </row>
    <row r="11" spans="1:5" x14ac:dyDescent="0.25">
      <c r="A11" s="84" t="s">
        <v>57</v>
      </c>
      <c r="B11" s="89">
        <v>73570016</v>
      </c>
    </row>
    <row r="12" spans="1:5" x14ac:dyDescent="0.25">
      <c r="A12" s="84" t="s">
        <v>35</v>
      </c>
      <c r="B12" s="90">
        <v>136565722</v>
      </c>
    </row>
    <row r="13" spans="1:5" x14ac:dyDescent="0.25">
      <c r="A13" s="83" t="s">
        <v>69</v>
      </c>
      <c r="B13" s="91">
        <f>SUM(B9:B12)</f>
        <v>312247720</v>
      </c>
    </row>
    <row r="14" spans="1:5" x14ac:dyDescent="0.25">
      <c r="A14" s="83" t="s">
        <v>70</v>
      </c>
      <c r="B14" s="92"/>
    </row>
    <row r="15" spans="1:5" x14ac:dyDescent="0.25">
      <c r="A15" s="84" t="s">
        <v>173</v>
      </c>
      <c r="B15" s="89">
        <f>SUM(B16+B17+B18)</f>
        <v>616700000</v>
      </c>
    </row>
    <row r="16" spans="1:5" ht="18" customHeight="1" x14ac:dyDescent="0.25">
      <c r="A16" s="84" t="s">
        <v>174</v>
      </c>
      <c r="B16" s="89">
        <v>16400000</v>
      </c>
      <c r="D16" s="149"/>
    </row>
    <row r="17" spans="1:2" ht="18.75" customHeight="1" x14ac:dyDescent="0.25">
      <c r="A17" s="84" t="s">
        <v>248</v>
      </c>
      <c r="B17" s="89">
        <v>300000</v>
      </c>
    </row>
    <row r="18" spans="1:2" ht="23.25" customHeight="1" x14ac:dyDescent="0.25">
      <c r="A18" s="84" t="s">
        <v>350</v>
      </c>
      <c r="B18" s="89">
        <v>600000000</v>
      </c>
    </row>
    <row r="19" spans="1:2" x14ac:dyDescent="0.25">
      <c r="A19" s="84" t="s">
        <v>246</v>
      </c>
      <c r="B19" s="90"/>
    </row>
    <row r="20" spans="1:2" ht="16.5" customHeight="1" x14ac:dyDescent="0.25">
      <c r="A20" s="83" t="s">
        <v>36</v>
      </c>
      <c r="B20" s="93">
        <f>SUM(B15+B19)</f>
        <v>616700000</v>
      </c>
    </row>
    <row r="21" spans="1:2" x14ac:dyDescent="0.25">
      <c r="A21" s="85" t="s">
        <v>37</v>
      </c>
      <c r="B21" s="20">
        <f>B13+B20</f>
        <v>928947720</v>
      </c>
    </row>
    <row r="22" spans="1:2" x14ac:dyDescent="0.25">
      <c r="A22" s="82" t="s">
        <v>38</v>
      </c>
      <c r="B22" s="92"/>
    </row>
    <row r="23" spans="1:2" x14ac:dyDescent="0.25">
      <c r="A23" s="83" t="s">
        <v>39</v>
      </c>
      <c r="B23" s="92"/>
    </row>
    <row r="24" spans="1:2" x14ac:dyDescent="0.25">
      <c r="A24" s="86" t="s">
        <v>40</v>
      </c>
      <c r="B24" s="89">
        <f>577735443+5722182</f>
        <v>583457625</v>
      </c>
    </row>
    <row r="25" spans="1:2" x14ac:dyDescent="0.25">
      <c r="A25" s="86" t="s">
        <v>41</v>
      </c>
      <c r="B25" s="89">
        <v>34843000</v>
      </c>
    </row>
    <row r="26" spans="1:2" ht="20.25" customHeight="1" x14ac:dyDescent="0.25">
      <c r="A26" s="86" t="s">
        <v>42</v>
      </c>
      <c r="B26" s="155">
        <v>0</v>
      </c>
    </row>
    <row r="27" spans="1:2" ht="18" customHeight="1" x14ac:dyDescent="0.25">
      <c r="A27" s="83" t="s">
        <v>43</v>
      </c>
      <c r="B27" s="91">
        <f>B24+B25+B26</f>
        <v>618300625</v>
      </c>
    </row>
    <row r="28" spans="1:2" ht="20.25" customHeight="1" x14ac:dyDescent="0.25">
      <c r="A28" s="82" t="s">
        <v>44</v>
      </c>
      <c r="B28" s="92"/>
    </row>
    <row r="29" spans="1:2" x14ac:dyDescent="0.25">
      <c r="A29" s="84" t="s">
        <v>45</v>
      </c>
      <c r="B29" s="90">
        <v>615700000</v>
      </c>
    </row>
    <row r="30" spans="1:2" x14ac:dyDescent="0.25">
      <c r="A30" s="83" t="s">
        <v>46</v>
      </c>
      <c r="B30" s="93">
        <f>SUM(B29:B29)</f>
        <v>615700000</v>
      </c>
    </row>
    <row r="31" spans="1:2" x14ac:dyDescent="0.25">
      <c r="A31" s="87" t="s">
        <v>47</v>
      </c>
      <c r="B31" s="12">
        <f>B27+B30</f>
        <v>1234000625</v>
      </c>
    </row>
    <row r="32" spans="1:2" ht="19.5" customHeight="1" x14ac:dyDescent="0.25">
      <c r="A32" s="83" t="s">
        <v>48</v>
      </c>
      <c r="B32" s="89"/>
    </row>
    <row r="33" spans="1:4" ht="19.5" customHeight="1" x14ac:dyDescent="0.25">
      <c r="A33" s="84" t="s">
        <v>55</v>
      </c>
      <c r="B33" s="89">
        <v>5000000</v>
      </c>
    </row>
    <row r="34" spans="1:4" x14ac:dyDescent="0.25">
      <c r="A34" s="84" t="s">
        <v>49</v>
      </c>
      <c r="B34" s="89">
        <v>73188324</v>
      </c>
    </row>
    <row r="35" spans="1:4" x14ac:dyDescent="0.25">
      <c r="A35" s="84" t="s">
        <v>50</v>
      </c>
      <c r="B35" s="90">
        <f>B21-B31-B33-B34</f>
        <v>-383241229</v>
      </c>
    </row>
    <row r="36" spans="1:4" x14ac:dyDescent="0.25">
      <c r="A36" s="83" t="s">
        <v>51</v>
      </c>
      <c r="B36" s="95">
        <f>SUM(B33:B35)</f>
        <v>-305052905</v>
      </c>
    </row>
    <row r="37" spans="1:4" ht="15.75" thickBot="1" x14ac:dyDescent="0.3">
      <c r="A37" s="19" t="s">
        <v>52</v>
      </c>
      <c r="B37" s="21">
        <f>B31+B36</f>
        <v>928947720</v>
      </c>
    </row>
    <row r="38" spans="1:4" ht="18" customHeight="1" thickTop="1" x14ac:dyDescent="0.35">
      <c r="A38" s="24"/>
      <c r="B38" s="24"/>
      <c r="C38" s="38"/>
      <c r="D38" s="38"/>
    </row>
    <row r="39" spans="1:4" ht="18" customHeight="1" x14ac:dyDescent="0.35">
      <c r="A39" s="24"/>
      <c r="B39" s="24"/>
      <c r="C39" s="38"/>
      <c r="D39" s="38"/>
    </row>
    <row r="40" spans="1:4" ht="18" customHeight="1" x14ac:dyDescent="0.35">
      <c r="A40" s="24"/>
      <c r="B40" s="24"/>
      <c r="C40" s="38"/>
      <c r="D40" s="38"/>
    </row>
    <row r="41" spans="1:4" ht="18" customHeight="1" x14ac:dyDescent="0.35">
      <c r="A41" s="24"/>
      <c r="B41" s="24"/>
      <c r="C41" s="38"/>
      <c r="D41" s="38"/>
    </row>
    <row r="42" spans="1:4" ht="18" customHeight="1" x14ac:dyDescent="0.35">
      <c r="A42" s="24"/>
      <c r="B42" s="24"/>
      <c r="C42" s="38"/>
      <c r="D42" s="38"/>
    </row>
    <row r="43" spans="1:4" ht="18" x14ac:dyDescent="0.35">
      <c r="A43" s="86"/>
      <c r="B43" s="86"/>
      <c r="C43" s="39"/>
      <c r="D43" s="39"/>
    </row>
    <row r="44" spans="1:4" x14ac:dyDescent="0.25">
      <c r="A44" s="24" t="s">
        <v>252</v>
      </c>
    </row>
    <row r="45" spans="1:4" x14ac:dyDescent="0.25">
      <c r="A45" s="26" t="s">
        <v>198</v>
      </c>
    </row>
    <row r="46" spans="1:4" x14ac:dyDescent="0.25">
      <c r="A46" s="24"/>
      <c r="B46" s="24"/>
    </row>
    <row r="47" spans="1:4" x14ac:dyDescent="0.25">
      <c r="A47" s="150"/>
      <c r="B47" s="150"/>
    </row>
  </sheetData>
  <mergeCells count="4">
    <mergeCell ref="A2:B2"/>
    <mergeCell ref="A3:B3"/>
    <mergeCell ref="A4:B4"/>
    <mergeCell ref="A5:B5"/>
  </mergeCells>
  <pageMargins left="0.9055118110236221" right="0.70866141732283472" top="1.3385826771653544" bottom="0.74803149606299213" header="0.31496062992125984" footer="0.31496062992125984"/>
  <pageSetup scale="85" orientation="portrait" r:id="rId1"/>
  <drawing r:id="rId2"/>
  <legacyDrawing r:id="rId3"/>
  <oleObjects>
    <mc:AlternateContent xmlns:mc="http://schemas.openxmlformats.org/markup-compatibility/2006">
      <mc:Choice Requires="x14">
        <oleObject progId="Paint.Picture" shapeId="8193" r:id="rId4">
          <objectPr defaultSize="0" autoPict="0" r:id="rId5">
            <anchor moveWithCells="1">
              <from>
                <xdr:col>0</xdr:col>
                <xdr:colOff>28575</xdr:colOff>
                <xdr:row>37</xdr:row>
                <xdr:rowOff>66675</xdr:rowOff>
              </from>
              <to>
                <xdr:col>0</xdr:col>
                <xdr:colOff>1762125</xdr:colOff>
                <xdr:row>42</xdr:row>
                <xdr:rowOff>200025</xdr:rowOff>
              </to>
            </anchor>
          </objectPr>
        </oleObject>
      </mc:Choice>
      <mc:Fallback>
        <oleObject progId="Paint.Picture" shapeId="819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B692D-EAE8-40A0-987F-CD1AB08720A0}">
  <sheetPr>
    <pageSetUpPr fitToPage="1"/>
  </sheetPr>
  <dimension ref="A1:D44"/>
  <sheetViews>
    <sheetView topLeftCell="A36" workbookViewId="0">
      <selection activeCell="A41" sqref="A41"/>
    </sheetView>
  </sheetViews>
  <sheetFormatPr baseColWidth="10" defaultRowHeight="15" x14ac:dyDescent="0.25"/>
  <cols>
    <col min="1" max="1" width="52" customWidth="1"/>
    <col min="2" max="2" width="13" customWidth="1"/>
    <col min="3" max="3" width="13.28515625" bestFit="1" customWidth="1"/>
    <col min="4" max="4" width="12.7109375" customWidth="1"/>
  </cols>
  <sheetData>
    <row r="1" spans="1:4" ht="15.75" thickBot="1" x14ac:dyDescent="0.3">
      <c r="A1" s="29"/>
      <c r="B1" s="29"/>
      <c r="C1" s="29"/>
      <c r="D1" s="29"/>
    </row>
    <row r="2" spans="1:4" ht="21.75" customHeight="1" thickTop="1" x14ac:dyDescent="0.25">
      <c r="A2" s="315" t="s">
        <v>252</v>
      </c>
      <c r="B2" s="315"/>
      <c r="C2" s="315"/>
      <c r="D2" s="315"/>
    </row>
    <row r="3" spans="1:4" ht="15" customHeight="1" x14ac:dyDescent="0.25">
      <c r="A3" s="305" t="s">
        <v>253</v>
      </c>
      <c r="B3" s="305"/>
      <c r="C3" s="305"/>
      <c r="D3" s="305"/>
    </row>
    <row r="4" spans="1:4" ht="18" customHeight="1" x14ac:dyDescent="0.25">
      <c r="A4" s="305" t="s">
        <v>59</v>
      </c>
      <c r="B4" s="305"/>
      <c r="C4" s="305"/>
      <c r="D4" s="305"/>
    </row>
    <row r="5" spans="1:4" ht="15.75" customHeight="1" thickBot="1" x14ac:dyDescent="0.3">
      <c r="A5" s="306" t="s">
        <v>60</v>
      </c>
      <c r="B5" s="306"/>
      <c r="C5" s="306"/>
      <c r="D5" s="306"/>
    </row>
    <row r="6" spans="1:4" ht="6.75" customHeight="1" thickTop="1" x14ac:dyDescent="0.25">
      <c r="A6" s="30"/>
      <c r="B6" s="316" t="s">
        <v>61</v>
      </c>
      <c r="C6" s="316" t="s">
        <v>62</v>
      </c>
      <c r="D6" s="316" t="s">
        <v>63</v>
      </c>
    </row>
    <row r="7" spans="1:4" ht="27" customHeight="1" x14ac:dyDescent="0.25">
      <c r="A7" s="101" t="s">
        <v>32</v>
      </c>
      <c r="B7" s="317"/>
      <c r="C7" s="317"/>
      <c r="D7" s="317"/>
    </row>
    <row r="8" spans="1:4" ht="21.75" customHeight="1" x14ac:dyDescent="0.25">
      <c r="A8" s="102" t="s">
        <v>64</v>
      </c>
      <c r="B8" s="317"/>
      <c r="C8" s="317"/>
      <c r="D8" s="317"/>
    </row>
    <row r="9" spans="1:4" x14ac:dyDescent="0.25">
      <c r="A9" s="86" t="s">
        <v>65</v>
      </c>
      <c r="B9" s="89">
        <v>8749702</v>
      </c>
      <c r="C9" s="89">
        <v>7213998</v>
      </c>
      <c r="D9" s="89">
        <f t="shared" ref="D9:D14" si="0">C9-B9</f>
        <v>-1535704</v>
      </c>
    </row>
    <row r="10" spans="1:4" x14ac:dyDescent="0.25">
      <c r="A10" s="86" t="s">
        <v>66</v>
      </c>
      <c r="B10" s="89">
        <v>317635920</v>
      </c>
      <c r="C10" s="89">
        <v>306451451</v>
      </c>
      <c r="D10" s="89">
        <f t="shared" si="0"/>
        <v>-11184469</v>
      </c>
    </row>
    <row r="11" spans="1:4" x14ac:dyDescent="0.25">
      <c r="A11" s="86" t="s">
        <v>67</v>
      </c>
      <c r="B11" s="104">
        <v>19138367</v>
      </c>
      <c r="C11" s="89">
        <v>17166000</v>
      </c>
      <c r="D11" s="89">
        <f t="shared" si="0"/>
        <v>-1972367</v>
      </c>
    </row>
    <row r="12" spans="1:4" x14ac:dyDescent="0.25">
      <c r="A12" s="86" t="s">
        <v>68</v>
      </c>
      <c r="B12" s="89">
        <v>440830118</v>
      </c>
      <c r="C12" s="89">
        <v>230276000</v>
      </c>
      <c r="D12" s="89">
        <f t="shared" si="0"/>
        <v>-210554118</v>
      </c>
    </row>
    <row r="13" spans="1:4" x14ac:dyDescent="0.25">
      <c r="A13" s="86" t="s">
        <v>355</v>
      </c>
      <c r="B13" s="89">
        <v>300000</v>
      </c>
      <c r="C13" s="89"/>
      <c r="D13" s="89"/>
    </row>
    <row r="14" spans="1:4" ht="18.75" customHeight="1" x14ac:dyDescent="0.25">
      <c r="A14" s="102" t="s">
        <v>69</v>
      </c>
      <c r="B14" s="105">
        <f>SUM(B9:B13)</f>
        <v>786654107</v>
      </c>
      <c r="C14" s="105">
        <f>SUM(C9:C12)</f>
        <v>561107449</v>
      </c>
      <c r="D14" s="105">
        <f t="shared" si="0"/>
        <v>-225546658</v>
      </c>
    </row>
    <row r="15" spans="1:4" ht="10.5" customHeight="1" x14ac:dyDescent="0.25">
      <c r="A15" s="24"/>
      <c r="B15" s="94"/>
      <c r="C15" s="94"/>
      <c r="D15" s="94"/>
    </row>
    <row r="16" spans="1:4" ht="19.5" customHeight="1" x14ac:dyDescent="0.25">
      <c r="A16" s="102" t="s">
        <v>70</v>
      </c>
      <c r="B16" s="89"/>
      <c r="C16" s="89"/>
      <c r="D16" s="89"/>
    </row>
    <row r="17" spans="1:4" x14ac:dyDescent="0.25">
      <c r="A17" s="86" t="s">
        <v>71</v>
      </c>
      <c r="B17" s="106">
        <v>732362862</v>
      </c>
      <c r="C17" s="90">
        <v>858648551</v>
      </c>
      <c r="D17" s="90">
        <f>C17-B17</f>
        <v>126285689</v>
      </c>
    </row>
    <row r="18" spans="1:4" ht="20.25" customHeight="1" x14ac:dyDescent="0.25">
      <c r="A18" s="102" t="s">
        <v>72</v>
      </c>
      <c r="B18" s="93">
        <f>SUM(B17:B17)</f>
        <v>732362862</v>
      </c>
      <c r="C18" s="93">
        <f>SUM(C17:C17)</f>
        <v>858648551</v>
      </c>
      <c r="D18" s="93">
        <f t="shared" ref="D18:D19" si="1">C18-B18</f>
        <v>126285689</v>
      </c>
    </row>
    <row r="19" spans="1:4" ht="22.5" customHeight="1" x14ac:dyDescent="0.25">
      <c r="A19" s="19" t="s">
        <v>73</v>
      </c>
      <c r="B19" s="12">
        <f>B14+B18</f>
        <v>1519016969</v>
      </c>
      <c r="C19" s="12">
        <f>C14+C18</f>
        <v>1419756000</v>
      </c>
      <c r="D19" s="12">
        <f t="shared" si="1"/>
        <v>-99260969</v>
      </c>
    </row>
    <row r="20" spans="1:4" ht="23.25" customHeight="1" x14ac:dyDescent="0.25">
      <c r="A20" s="102" t="s">
        <v>74</v>
      </c>
      <c r="B20" s="89"/>
      <c r="C20" s="89"/>
      <c r="D20" s="89"/>
    </row>
    <row r="21" spans="1:4" ht="16.5" customHeight="1" x14ac:dyDescent="0.25">
      <c r="A21" s="102" t="s">
        <v>75</v>
      </c>
      <c r="B21" s="89"/>
      <c r="C21" s="89"/>
      <c r="D21" s="89"/>
    </row>
    <row r="22" spans="1:4" x14ac:dyDescent="0.25">
      <c r="A22" s="86" t="s">
        <v>76</v>
      </c>
      <c r="B22" s="89">
        <v>731123938</v>
      </c>
      <c r="C22" s="89">
        <v>705203054</v>
      </c>
      <c r="D22" s="89">
        <f t="shared" ref="D22:D24" si="2">C22-B22</f>
        <v>-25920884</v>
      </c>
    </row>
    <row r="23" spans="1:4" x14ac:dyDescent="0.25">
      <c r="A23" s="86" t="s">
        <v>77</v>
      </c>
      <c r="B23" s="89">
        <v>19004000</v>
      </c>
      <c r="C23" s="89">
        <v>3770580</v>
      </c>
      <c r="D23" s="89">
        <f t="shared" si="2"/>
        <v>-15233420</v>
      </c>
    </row>
    <row r="24" spans="1:4" x14ac:dyDescent="0.25">
      <c r="A24" s="86" t="s">
        <v>353</v>
      </c>
      <c r="B24" s="90">
        <v>8968804</v>
      </c>
      <c r="C24" s="90">
        <v>0</v>
      </c>
      <c r="D24" s="90">
        <f t="shared" si="2"/>
        <v>-8968804</v>
      </c>
    </row>
    <row r="25" spans="1:4" ht="21.75" customHeight="1" x14ac:dyDescent="0.25">
      <c r="A25" s="102" t="s">
        <v>78</v>
      </c>
      <c r="B25" s="105">
        <f>SUM(B22:B24)</f>
        <v>759096742</v>
      </c>
      <c r="C25" s="105">
        <f>SUM(C22:C24)</f>
        <v>708973634</v>
      </c>
      <c r="D25" s="105">
        <f>SUM(D22:D24)</f>
        <v>-50123108</v>
      </c>
    </row>
    <row r="26" spans="1:4" ht="12" customHeight="1" x14ac:dyDescent="0.25">
      <c r="A26" s="24"/>
      <c r="B26" s="94"/>
      <c r="C26" s="94"/>
      <c r="D26" s="94"/>
    </row>
    <row r="27" spans="1:4" ht="20.25" customHeight="1" x14ac:dyDescent="0.25">
      <c r="A27" s="102" t="s">
        <v>79</v>
      </c>
      <c r="B27" s="89"/>
      <c r="C27" s="89"/>
      <c r="D27" s="89"/>
    </row>
    <row r="28" spans="1:4" x14ac:dyDescent="0.25">
      <c r="A28" s="86" t="s">
        <v>80</v>
      </c>
      <c r="B28" s="89">
        <v>634702574</v>
      </c>
      <c r="C28" s="89">
        <v>596697366</v>
      </c>
      <c r="D28" s="89">
        <f>C28-B28</f>
        <v>-38005208</v>
      </c>
    </row>
    <row r="29" spans="1:4" x14ac:dyDescent="0.25">
      <c r="A29" s="86" t="s">
        <v>81</v>
      </c>
      <c r="B29" s="89">
        <v>0</v>
      </c>
      <c r="C29" s="89">
        <v>0</v>
      </c>
      <c r="D29" s="89">
        <f>C29-B29</f>
        <v>0</v>
      </c>
    </row>
    <row r="30" spans="1:4" ht="21.75" customHeight="1" x14ac:dyDescent="0.25">
      <c r="A30" s="102" t="s">
        <v>82</v>
      </c>
      <c r="B30" s="93">
        <f>SUM(B28:B29)</f>
        <v>634702574</v>
      </c>
      <c r="C30" s="93">
        <f>SUM(C28:C29)</f>
        <v>596697366</v>
      </c>
      <c r="D30" s="93">
        <f>C30-B30</f>
        <v>-38005208</v>
      </c>
    </row>
    <row r="31" spans="1:4" ht="24" customHeight="1" x14ac:dyDescent="0.25">
      <c r="A31" s="19" t="s">
        <v>83</v>
      </c>
      <c r="B31" s="12">
        <f>B25+B30</f>
        <v>1393799316</v>
      </c>
      <c r="C31" s="12">
        <f>C25+C30</f>
        <v>1305671000</v>
      </c>
      <c r="D31" s="12">
        <f>C31-B31</f>
        <v>-88128316</v>
      </c>
    </row>
    <row r="32" spans="1:4" ht="4.5" customHeight="1" x14ac:dyDescent="0.25">
      <c r="A32" s="103"/>
      <c r="B32" s="107"/>
      <c r="C32" s="107"/>
      <c r="D32" s="107"/>
    </row>
    <row r="33" spans="1:4" ht="15.75" customHeight="1" x14ac:dyDescent="0.25">
      <c r="A33" s="102" t="s">
        <v>48</v>
      </c>
      <c r="B33" s="89"/>
      <c r="C33" s="89"/>
      <c r="D33" s="89"/>
    </row>
    <row r="34" spans="1:4" x14ac:dyDescent="0.25">
      <c r="A34" s="86" t="s">
        <v>84</v>
      </c>
      <c r="B34" s="104">
        <v>5000000</v>
      </c>
      <c r="C34" s="89">
        <v>5000000</v>
      </c>
      <c r="D34" s="89">
        <f t="shared" ref="D34:D38" si="3">C34-B34</f>
        <v>0</v>
      </c>
    </row>
    <row r="35" spans="1:4" x14ac:dyDescent="0.25">
      <c r="A35" s="86" t="s">
        <v>85</v>
      </c>
      <c r="B35" s="89">
        <v>0</v>
      </c>
      <c r="C35" s="89">
        <v>0</v>
      </c>
      <c r="D35" s="89">
        <f t="shared" si="3"/>
        <v>0</v>
      </c>
    </row>
    <row r="36" spans="1:4" x14ac:dyDescent="0.25">
      <c r="A36" s="86" t="s">
        <v>86</v>
      </c>
      <c r="B36" s="108">
        <v>120217752</v>
      </c>
      <c r="C36" s="89">
        <v>109085000</v>
      </c>
      <c r="D36" s="89">
        <f t="shared" si="3"/>
        <v>-11132752</v>
      </c>
    </row>
    <row r="37" spans="1:4" ht="18" customHeight="1" x14ac:dyDescent="0.25">
      <c r="A37" s="102" t="s">
        <v>87</v>
      </c>
      <c r="B37" s="93">
        <f>SUM(B34:B36)</f>
        <v>125217752</v>
      </c>
      <c r="C37" s="93">
        <f>SUM(C34:C36)</f>
        <v>114085000</v>
      </c>
      <c r="D37" s="93">
        <f t="shared" si="3"/>
        <v>-11132752</v>
      </c>
    </row>
    <row r="38" spans="1:4" ht="25.5" customHeight="1" thickBot="1" x14ac:dyDescent="0.3">
      <c r="A38" s="19" t="s">
        <v>88</v>
      </c>
      <c r="B38" s="109">
        <f>B31+B37</f>
        <v>1519017068</v>
      </c>
      <c r="C38" s="109">
        <f>C31+C37</f>
        <v>1419756000</v>
      </c>
      <c r="D38" s="109">
        <f t="shared" si="3"/>
        <v>-99261068</v>
      </c>
    </row>
    <row r="39" spans="1:4" ht="15.75" thickTop="1" x14ac:dyDescent="0.25">
      <c r="A39" s="40"/>
      <c r="B39" s="41"/>
      <c r="C39" s="41"/>
      <c r="D39" s="41"/>
    </row>
    <row r="40" spans="1:4" x14ac:dyDescent="0.25">
      <c r="A40" s="28"/>
      <c r="B40" s="42"/>
      <c r="C40" s="42"/>
      <c r="D40" s="42"/>
    </row>
    <row r="41" spans="1:4" x14ac:dyDescent="0.25">
      <c r="A41" s="28"/>
      <c r="B41" s="42"/>
      <c r="C41" s="42"/>
      <c r="D41" s="42"/>
    </row>
    <row r="43" spans="1:4" x14ac:dyDescent="0.25">
      <c r="A43" s="24"/>
      <c r="B43" s="313"/>
      <c r="C43" s="313"/>
      <c r="D43" s="313"/>
    </row>
    <row r="44" spans="1:4" ht="15.75" x14ac:dyDescent="0.3">
      <c r="A44" s="86"/>
      <c r="B44" s="314"/>
      <c r="C44" s="314"/>
      <c r="D44" s="314"/>
    </row>
  </sheetData>
  <mergeCells count="9">
    <mergeCell ref="B43:D43"/>
    <mergeCell ref="B44:D44"/>
    <mergeCell ref="A2:D2"/>
    <mergeCell ref="A3:D3"/>
    <mergeCell ref="A4:D4"/>
    <mergeCell ref="A5:D5"/>
    <mergeCell ref="B6:B8"/>
    <mergeCell ref="C6:C8"/>
    <mergeCell ref="D6:D8"/>
  </mergeCells>
  <pageMargins left="0.9055118110236221" right="0.70866141732283472" top="1.3385826771653544" bottom="0.74803149606299213" header="0.31496062992125984" footer="0.31496062992125984"/>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E.RESULTADOS 2018</vt:lpstr>
      <vt:lpstr>E.RESULTADOS 2019</vt:lpstr>
      <vt:lpstr>E.RESULTADOS 2020</vt:lpstr>
      <vt:lpstr>E.RESULTADOS 2021</vt:lpstr>
      <vt:lpstr>SITUACION FRA 2018</vt:lpstr>
      <vt:lpstr>SITUACION FRA 2019</vt:lpstr>
      <vt:lpstr>SITUACION FRA 2020</vt:lpstr>
      <vt:lpstr>SITUACION FRA 2021</vt:lpstr>
      <vt:lpstr>CAMB.SIT.FRA 2018-2019</vt:lpstr>
      <vt:lpstr>CAMB.SIT.FRA 2019-2020</vt:lpstr>
      <vt:lpstr>CAMB.SIT.FRA 2020-2021</vt:lpstr>
      <vt:lpstr>CAMB.PATR.2018-2019</vt:lpstr>
      <vt:lpstr>CAMB.PATR.2019-2020</vt:lpstr>
      <vt:lpstr>CAMB.PATR.2020-2021</vt:lpstr>
      <vt:lpstr>FLUJO EFECTIVO 2018</vt:lpstr>
      <vt:lpstr>FLUJO EFECTIVO 2019</vt:lpstr>
      <vt:lpstr>FLUJO EFECTIVO 2020</vt:lpstr>
      <vt:lpstr>FLUJO EFECTIVO 2021</vt:lpstr>
      <vt:lpstr>FLUJO PROYECTADO </vt:lpstr>
      <vt:lpstr>ACTIVOS Y PASIVOS</vt:lpstr>
      <vt:lpstr>REL MUEBLES Y ENSERES</vt:lpstr>
      <vt:lpstr>REL.DETALLADA ACREEDORES</vt:lpstr>
      <vt:lpstr>'ACTIVOS Y PASIVOS'!Área_de_impresión</vt:lpstr>
      <vt:lpstr>'CAMB.PATR.2018-2019'!Área_de_impresión</vt:lpstr>
      <vt:lpstr>'CAMB.PATR.2019-2020'!Área_de_impresión</vt:lpstr>
      <vt:lpstr>'CAMB.PATR.2020-2021'!Área_de_impresión</vt:lpstr>
      <vt:lpstr>'CAMB.SIT.FRA 2018-2019'!Área_de_impresión</vt:lpstr>
      <vt:lpstr>'CAMB.SIT.FRA 2019-2020'!Área_de_impresión</vt:lpstr>
      <vt:lpstr>'CAMB.SIT.FRA 2020-2021'!Área_de_impresión</vt:lpstr>
      <vt:lpstr>'E.RESULTADOS 2018'!Área_de_impresión</vt:lpstr>
      <vt:lpstr>'E.RESULTADOS 2019'!Área_de_impresión</vt:lpstr>
      <vt:lpstr>'E.RESULTADOS 2020'!Área_de_impresión</vt:lpstr>
      <vt:lpstr>'E.RESULTADOS 2021'!Área_de_impresión</vt:lpstr>
      <vt:lpstr>'FLUJO EFECTIVO 2018'!Área_de_impresión</vt:lpstr>
      <vt:lpstr>'FLUJO EFECTIVO 2019'!Área_de_impresión</vt:lpstr>
      <vt:lpstr>'FLUJO EFECTIVO 2020'!Área_de_impresión</vt:lpstr>
      <vt:lpstr>'FLUJO EFECTIVO 2021'!Área_de_impresión</vt:lpstr>
      <vt:lpstr>'FLUJO PROYECTADO '!Área_de_impresión</vt:lpstr>
      <vt:lpstr>'REL.DETALLADA ACREEDORES'!Área_de_impresión</vt:lpstr>
      <vt:lpstr>'SITUACION FRA 2018'!Área_de_impresión</vt:lpstr>
      <vt:lpstr>'SITUACION FRA 2019'!Área_de_impresión</vt:lpstr>
      <vt:lpstr>'SITUACION FRA 2020'!Área_de_impresión</vt:lpstr>
      <vt:lpstr>'SITUACION FRA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 Juliana Villamizar Gomez</dc:creator>
  <cp:lastModifiedBy>Martha</cp:lastModifiedBy>
  <cp:lastPrinted>2022-02-18T17:02:36Z</cp:lastPrinted>
  <dcterms:created xsi:type="dcterms:W3CDTF">2021-08-03T16:43:10Z</dcterms:created>
  <dcterms:modified xsi:type="dcterms:W3CDTF">2023-04-22T14:06:29Z</dcterms:modified>
</cp:coreProperties>
</file>